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Trade Log" sheetId="2" state="visible" r:id="rId2"/>
    <sheet xmlns:r="http://schemas.openxmlformats.org/officeDocument/2006/relationships" name="Settings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Playboo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YYYY-MM-DD"/>
    <numFmt numFmtId="166" formatCode="#,##0.00;[Red]-#,##0.00"/>
    <numFmt numFmtId="167" formatCode="0.00%;[Red]-0.00%"/>
    <numFmt numFmtId="168" formatCode="0.00;[Red]-0.00"/>
    <numFmt numFmtId="169" formatCode="0.0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b val="1"/>
      <color rgb="00856404"/>
      <sz val="10"/>
    </font>
    <font>
      <name val="Calibri"/>
      <color rgb="00666666"/>
      <sz val="9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b val="1"/>
      <color rgb="002E5BE8"/>
      <sz val="11"/>
    </font>
    <font>
      <name val="Calibri"/>
      <color rgb="00666666"/>
      <sz val="10"/>
    </font>
    <font>
      <name val="Calibri"/>
      <b val="1"/>
      <color rgb="001F2D3D"/>
      <sz val="11"/>
    </font>
  </fonts>
  <fills count="8">
    <fill>
      <patternFill/>
    </fill>
    <fill>
      <patternFill patternType="gray125"/>
    </fill>
    <fill>
      <patternFill patternType="solid">
        <fgColor rgb="001F2D3D"/>
      </patternFill>
    </fill>
    <fill>
      <patternFill patternType="solid">
        <fgColor rgb="002E5BE8"/>
      </patternFill>
    </fill>
    <fill>
      <patternFill patternType="solid">
        <fgColor rgb="00FFF3CD"/>
      </patternFill>
    </fill>
    <fill>
      <patternFill patternType="solid">
        <fgColor rgb="00D9D9D9"/>
      </patternFill>
    </fill>
    <fill>
      <patternFill patternType="solid">
        <fgColor rgb="00F5F7FA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applyAlignment="1" pivotButton="0" quotePrefix="0" xfId="0">
      <alignment wrapText="1"/>
    </xf>
    <xf numFmtId="0" fontId="5" fillId="4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/>
    </xf>
    <xf numFmtId="165" fontId="0" fillId="6" borderId="1" applyAlignment="1" pivotButton="0" quotePrefix="0" xfId="0">
      <alignment horizontal="left" vertical="center"/>
    </xf>
    <xf numFmtId="4" fontId="0" fillId="6" borderId="1" applyAlignment="1" pivotButton="0" quotePrefix="0" xfId="0">
      <alignment horizontal="left" vertical="center"/>
    </xf>
    <xf numFmtId="3" fontId="0" fillId="6" borderId="1" applyAlignment="1" pivotButton="0" quotePrefix="0" xfId="0">
      <alignment horizontal="left" vertical="center"/>
    </xf>
    <xf numFmtId="2" fontId="0" fillId="6" borderId="1" applyAlignment="1" pivotButton="0" quotePrefix="0" xfId="0">
      <alignment horizontal="left" vertical="center"/>
    </xf>
    <xf numFmtId="166" fontId="0" fillId="6" borderId="1" applyAlignment="1" pivotButton="0" quotePrefix="0" xfId="0">
      <alignment horizontal="left" vertical="center"/>
    </xf>
    <xf numFmtId="167" fontId="0" fillId="6" borderId="1" applyAlignment="1" pivotButton="0" quotePrefix="0" xfId="0">
      <alignment horizontal="left" vertical="center"/>
    </xf>
    <xf numFmtId="168" fontId="0" fillId="6" borderId="1" applyAlignment="1" pivotButton="0" quotePrefix="0" xfId="0">
      <alignment horizontal="left" vertical="center"/>
    </xf>
    <xf numFmtId="1" fontId="0" fillId="6" borderId="1" applyAlignment="1" pivotButton="0" quotePrefix="0" xfId="0">
      <alignment horizontal="left" vertical="center"/>
    </xf>
    <xf numFmtId="1" fontId="6" fillId="5" borderId="1" applyAlignment="1" pivotButton="0" quotePrefix="0" xfId="0">
      <alignment horizontal="center" vertical="center"/>
    </xf>
    <xf numFmtId="4" fontId="6" fillId="5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left" vertical="center"/>
    </xf>
    <xf numFmtId="165" fontId="0" fillId="7" borderId="1" applyAlignment="1" pivotButton="0" quotePrefix="0" xfId="0">
      <alignment horizontal="left" vertical="center"/>
    </xf>
    <xf numFmtId="4" fontId="0" fillId="7" borderId="1" applyAlignment="1" pivotButton="0" quotePrefix="0" xfId="0">
      <alignment horizontal="left" vertical="center"/>
    </xf>
    <xf numFmtId="3" fontId="0" fillId="7" borderId="1" applyAlignment="1" pivotButton="0" quotePrefix="0" xfId="0">
      <alignment horizontal="left" vertical="center"/>
    </xf>
    <xf numFmtId="2" fontId="0" fillId="7" borderId="1" applyAlignment="1" pivotButton="0" quotePrefix="0" xfId="0">
      <alignment horizontal="left" vertical="center"/>
    </xf>
    <xf numFmtId="166" fontId="0" fillId="7" borderId="1" applyAlignment="1" pivotButton="0" quotePrefix="0" xfId="0">
      <alignment horizontal="left" vertical="center"/>
    </xf>
    <xf numFmtId="167" fontId="0" fillId="7" borderId="1" applyAlignment="1" pivotButton="0" quotePrefix="0" xfId="0">
      <alignment horizontal="left" vertical="center"/>
    </xf>
    <xf numFmtId="168" fontId="0" fillId="7" borderId="1" applyAlignment="1" pivotButton="0" quotePrefix="0" xfId="0">
      <alignment horizontal="left" vertical="center"/>
    </xf>
    <xf numFmtId="1" fontId="0" fillId="7" borderId="1" applyAlignment="1" pivotButton="0" quotePrefix="0" xfId="0">
      <alignment horizontal="left" vertical="center"/>
    </xf>
    <xf numFmtId="0" fontId="7" fillId="2" borderId="0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4" fontId="9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wrapText="1"/>
    </xf>
    <xf numFmtId="10" fontId="9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0" fillId="0" borderId="0" applyAlignment="1" pivotButton="0" quotePrefix="0" xfId="0">
      <alignment wrapText="1"/>
    </xf>
    <xf numFmtId="0" fontId="8" fillId="3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" fontId="1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wrapText="1"/>
    </xf>
    <xf numFmtId="10" fontId="11" fillId="0" borderId="1" applyAlignment="1" pivotButton="0" quotePrefix="0" xfId="0">
      <alignment horizontal="center" vertical="center"/>
    </xf>
    <xf numFmtId="166" fontId="11" fillId="0" borderId="1" applyAlignment="1" pivotButton="0" quotePrefix="0" xfId="0">
      <alignment horizontal="center" vertical="center"/>
    </xf>
    <xf numFmtId="4" fontId="11" fillId="0" borderId="1" applyAlignment="1" pivotButton="0" quotePrefix="0" xfId="0">
      <alignment horizontal="center" vertical="center"/>
    </xf>
    <xf numFmtId="2" fontId="11" fillId="0" borderId="1" applyAlignment="1" pivotButton="0" quotePrefix="0" xfId="0">
      <alignment horizontal="center" vertical="center"/>
    </xf>
    <xf numFmtId="169" fontId="11" fillId="0" borderId="1" applyAlignment="1" pivotButton="0" quotePrefix="0" xfId="0">
      <alignment horizontal="center" vertical="center"/>
    </xf>
    <xf numFmtId="167" fontId="11" fillId="0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1" fontId="4" fillId="7" borderId="1" applyAlignment="1" pivotButton="0" quotePrefix="0" xfId="0">
      <alignment horizontal="center" vertical="center"/>
    </xf>
    <xf numFmtId="10" fontId="4" fillId="7" borderId="1" applyAlignment="1" pivotButton="0" quotePrefix="0" xfId="0">
      <alignment horizontal="center" vertical="center"/>
    </xf>
    <xf numFmtId="166" fontId="4" fillId="7" borderId="1" applyAlignment="1" pivotButton="0" quotePrefix="0" xfId="0">
      <alignment horizontal="center" vertical="center"/>
    </xf>
    <xf numFmtId="168" fontId="4" fillId="7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1" fontId="4" fillId="6" borderId="1" applyAlignment="1" pivotButton="0" quotePrefix="0" xfId="0">
      <alignment horizontal="center" vertical="center"/>
    </xf>
    <xf numFmtId="10" fontId="4" fillId="6" borderId="1" applyAlignment="1" pivotButton="0" quotePrefix="0" xfId="0">
      <alignment horizontal="center" vertical="center"/>
    </xf>
    <xf numFmtId="166" fontId="4" fillId="6" borderId="1" applyAlignment="1" pivotButton="0" quotePrefix="0" xfId="0">
      <alignment horizontal="center" vertical="center"/>
    </xf>
    <xf numFmtId="168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vertical="top" wrapText="1"/>
    </xf>
    <xf numFmtId="0" fontId="4" fillId="7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0" fillId="7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Cumulative P/L</a:t>
            </a:r>
          </a:p>
        </rich>
      </tx>
    </title>
    <plotArea>
      <lineChart>
        <grouping val="standard"/>
        <ser>
          <idx val="0"/>
          <order val="0"/>
          <tx>
            <strRef>
              <f>'Trade Log'!V1</f>
            </strRef>
          </tx>
          <spPr>
            <a:ln xmlns:a="http://schemas.openxmlformats.org/drawingml/2006/main" w="20000">
              <a:solidFill>
                <a:srgbClr val="2E5BE8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'Trade Log'!$U$2:$U$601</f>
            </numRef>
          </cat>
          <val>
            <numRef>
              <f>'Trade Log'!$V$2:$V$601</f>
            </numRef>
          </val>
        </ser>
        <smooth val="1"/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Trade #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Cumulative P/L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53</row>
      <rowOff>0</rowOff>
    </from>
    <ext cx="100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8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60" customWidth="1" min="2" max="2"/>
  </cols>
  <sheetData>
    <row r="1">
      <c r="A1" s="1" t="inlineStr">
        <is>
          <t>Mastermind Trading Journal — Quick Start Guide</t>
        </is>
      </c>
    </row>
    <row r="3">
      <c r="A3" s="2" t="inlineStr">
        <is>
          <t>WHAT EACH SHEET DOES</t>
        </is>
      </c>
    </row>
    <row r="4">
      <c r="A4" s="3" t="inlineStr">
        <is>
          <t>Start Here</t>
        </is>
      </c>
      <c r="B4" s="4" t="inlineStr">
        <is>
          <t>This guide. Read once.</t>
        </is>
      </c>
    </row>
    <row r="5">
      <c r="A5" s="3" t="inlineStr">
        <is>
          <t>Trade Log</t>
        </is>
      </c>
      <c r="B5" s="4" t="inlineStr">
        <is>
          <t>One row per trade. Log every trade here — closed or open.</t>
        </is>
      </c>
    </row>
    <row r="6">
      <c r="A6" s="3" t="inlineStr">
        <is>
          <t>Settings</t>
        </is>
      </c>
      <c r="B6" s="4" t="inlineStr">
        <is>
          <t>Set your account size and default risk % here. Account size feeds the Dashboard '% of account' row; risk % feeds the Risk $ helper.</t>
        </is>
      </c>
    </row>
    <row r="7">
      <c r="A7" s="3" t="inlineStr">
        <is>
          <t>Dashboard</t>
        </is>
      </c>
      <c r="B7" s="4" t="inlineStr">
        <is>
          <t>All stats auto-calculated from your Trade Log. No manual entry needed.</t>
        </is>
      </c>
    </row>
    <row r="8">
      <c r="A8" s="3" t="inlineStr">
        <is>
          <t>Playbook</t>
        </is>
      </c>
      <c r="B8" s="4" t="inlineStr">
        <is>
          <t>Your personal setup library. Name and define up to 20 setups; Trade Log dropdown pulls from this list.</t>
        </is>
      </c>
    </row>
    <row r="10">
      <c r="A10" s="2" t="inlineStr">
        <is>
          <t>HOW TO LOG A TRADE IN 30 SECONDS</t>
        </is>
      </c>
    </row>
    <row r="11">
      <c r="A11" s="4" t="inlineStr">
        <is>
          <t>1. Go to Trade Log.</t>
        </is>
      </c>
    </row>
    <row r="12">
      <c r="A12" s="4" t="inlineStr">
        <is>
          <t>2. Fill in: Date Opened, Ticker, Direction (Long/Short), Setup (pick from dropdown).</t>
        </is>
      </c>
    </row>
    <row r="13">
      <c r="A13" s="4" t="inlineStr">
        <is>
          <t>3. Enter Entry, Stop, Target, and Shares — Risk $ and Planned R:R calculate automatically.</t>
        </is>
      </c>
    </row>
    <row r="14">
      <c r="A14" s="4" t="inlineStr">
        <is>
          <t>4. When the trade closes: fill in Date Closed, Exit, and Fees.</t>
        </is>
      </c>
    </row>
    <row r="15">
      <c r="A15" s="4" t="inlineStr">
        <is>
          <t xml:space="preserve">   P/L $, P/L %, R Multiple, and Days Held all populate automatically.</t>
        </is>
      </c>
    </row>
    <row r="16">
      <c r="A16" s="4" t="inlineStr">
        <is>
          <t>5. Tag any mistake from the Mistake? dropdown. That feeds the Dashboard 'cost of mistakes' line.</t>
        </is>
      </c>
    </row>
    <row r="18">
      <c r="A18" s="2" t="inlineStr">
        <is>
          <t>WHAT R MULTIPLES ARE (AND WHY THE DASHBOARD USES THEM)</t>
        </is>
      </c>
    </row>
    <row r="19">
      <c r="A19" s="3" t="inlineStr">
        <is>
          <t>R = 1.0</t>
        </is>
      </c>
      <c r="B19" s="4" t="inlineStr">
        <is>
          <t>means you made exactly what you risked on the trade (P/L $ equals your Risk $).</t>
        </is>
      </c>
    </row>
    <row r="20">
      <c r="A20" s="3" t="inlineStr">
        <is>
          <t>R = 2.0</t>
        </is>
      </c>
      <c r="B20" s="4" t="inlineStr">
        <is>
          <t>means you made twice your risk. A trade where you risked $300 and made $600.</t>
        </is>
      </c>
    </row>
    <row r="21">
      <c r="A21" s="3" t="inlineStr">
        <is>
          <t>R = -1.0</t>
        </is>
      </c>
      <c r="B21" s="4" t="inlineStr">
        <is>
          <t>means you lost your full planned risk — a clean, disciplined stop.</t>
        </is>
      </c>
    </row>
    <row r="22">
      <c r="A22" s="3" t="inlineStr">
        <is>
          <t>Why R?</t>
        </is>
      </c>
      <c r="B22" s="4" t="inlineStr">
        <is>
          <t>Dollar P/L varies by position size. R normalises performance across different account sizes and position sizes, so you can compare setups fairly and calculate expectancy (average R per trade) across your whole journal.</t>
        </is>
      </c>
    </row>
    <row r="23">
      <c r="A23" s="3" t="inlineStr">
        <is>
          <t>Expectancy</t>
        </is>
      </c>
      <c r="B23" s="4" t="inlineStr">
        <is>
          <t>Win rate x avg winning R + Loss rate x avg losing R. Positive expectancy means your edge is real over a large sample of trades.</t>
        </is>
      </c>
    </row>
    <row r="25">
      <c r="A25" s="2" t="inlineStr">
        <is>
          <t>THREE EXAMPLE ROWS IN THE TRADE LOG</t>
        </is>
      </c>
    </row>
    <row r="26">
      <c r="A26" s="4" t="inlineStr">
        <is>
          <t>Rows 2–4 of the Trade Log are pre-filled with example trades (a winning long, a losing long, and a winning short). They show every formula working with real numbers. Delete them before you start logging your own trades — they will skew your Dashboard stats otherwise. Notes column says 'EXAMPLE — delete me'.</t>
        </is>
      </c>
    </row>
    <row r="28">
      <c r="A28" s="5" t="inlineStr">
        <is>
          <t>Educational tool — not investment advice.</t>
        </is>
      </c>
    </row>
  </sheetData>
  <mergeCells count="13">
    <mergeCell ref="A26:B26"/>
    <mergeCell ref="A16:B16"/>
    <mergeCell ref="A15:B15"/>
    <mergeCell ref="A25:B25"/>
    <mergeCell ref="A11:B11"/>
    <mergeCell ref="A10:B10"/>
    <mergeCell ref="A28:B28"/>
    <mergeCell ref="A13:B13"/>
    <mergeCell ref="A14:B14"/>
    <mergeCell ref="A1:B1"/>
    <mergeCell ref="A18:B18"/>
    <mergeCell ref="A3:B3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60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3" customWidth="1" min="2" max="2"/>
    <col width="8" customWidth="1" min="3" max="3"/>
    <col width="10" customWidth="1" min="4" max="4"/>
    <col width="28" customWidth="1" min="5" max="5"/>
    <col width="10" customWidth="1" min="6" max="6"/>
    <col width="10" customWidth="1" min="7" max="7"/>
    <col width="10" customWidth="1" min="8" max="8"/>
    <col width="8" customWidth="1" min="9" max="9"/>
    <col width="10" customWidth="1" min="10" max="10"/>
    <col width="12" customWidth="1" min="11" max="11"/>
    <col width="13" customWidth="1" min="12" max="12"/>
    <col width="10" customWidth="1" min="13" max="13"/>
    <col width="10" customWidth="1" min="14" max="14"/>
    <col width="12" customWidth="1" min="15" max="15"/>
    <col width="10" customWidth="1" min="16" max="16"/>
    <col width="12" customWidth="1" min="17" max="17"/>
    <col width="9" customWidth="1" min="18" max="18"/>
    <col width="17" customWidth="1" min="19" max="19"/>
    <col width="30" customWidth="1" min="20" max="20"/>
    <col width="10" customWidth="1" min="21" max="21"/>
    <col width="14" customWidth="1" min="22" max="22"/>
  </cols>
  <sheetData>
    <row r="1">
      <c r="A1" s="6" t="inlineStr">
        <is>
          <t>#</t>
        </is>
      </c>
      <c r="B1" s="6" t="inlineStr">
        <is>
          <t>Date Opened</t>
        </is>
      </c>
      <c r="C1" s="6" t="inlineStr">
        <is>
          <t>Ticker</t>
        </is>
      </c>
      <c r="D1" s="6" t="inlineStr">
        <is>
          <t>Direction</t>
        </is>
      </c>
      <c r="E1" s="6" t="inlineStr">
        <is>
          <t>Setup</t>
        </is>
      </c>
      <c r="F1" s="6" t="inlineStr">
        <is>
          <t>Entry</t>
        </is>
      </c>
      <c r="G1" s="6" t="inlineStr">
        <is>
          <t>Stop</t>
        </is>
      </c>
      <c r="H1" s="6" t="inlineStr">
        <is>
          <t>Target</t>
        </is>
      </c>
      <c r="I1" s="6" t="inlineStr">
        <is>
          <t>Shares</t>
        </is>
      </c>
      <c r="J1" s="6" t="inlineStr">
        <is>
          <t>Risk $</t>
        </is>
      </c>
      <c r="K1" s="6" t="inlineStr">
        <is>
          <t>Planned R:R</t>
        </is>
      </c>
      <c r="L1" s="6" t="inlineStr">
        <is>
          <t>Date Closed</t>
        </is>
      </c>
      <c r="M1" s="6" t="inlineStr">
        <is>
          <t>Exit</t>
        </is>
      </c>
      <c r="N1" s="6" t="inlineStr">
        <is>
          <t>Fees</t>
        </is>
      </c>
      <c r="O1" s="6" t="inlineStr">
        <is>
          <t>P/L $</t>
        </is>
      </c>
      <c r="P1" s="6" t="inlineStr">
        <is>
          <t>P/L %</t>
        </is>
      </c>
      <c r="Q1" s="6" t="inlineStr">
        <is>
          <t>R Multiple</t>
        </is>
      </c>
      <c r="R1" s="6" t="inlineStr">
        <is>
          <t>Days Held</t>
        </is>
      </c>
      <c r="S1" s="6" t="inlineStr">
        <is>
          <t>Mistake?</t>
        </is>
      </c>
      <c r="T1" s="6" t="inlineStr">
        <is>
          <t>Notes</t>
        </is>
      </c>
      <c r="U1" s="7" t="inlineStr">
        <is>
          <t>Trade #</t>
        </is>
      </c>
      <c r="V1" s="7" t="inlineStr">
        <is>
          <t>Cumulative P/L</t>
        </is>
      </c>
    </row>
    <row r="2">
      <c r="A2" s="8" t="n">
        <v>1</v>
      </c>
      <c r="B2" s="9" t="n">
        <v>46174</v>
      </c>
      <c r="C2" s="8" t="inlineStr">
        <is>
          <t>AAPL</t>
        </is>
      </c>
      <c r="D2" s="8" t="inlineStr">
        <is>
          <t>Long</t>
        </is>
      </c>
      <c r="E2" s="8" t="inlineStr">
        <is>
          <t>Breakout — 52-week high</t>
        </is>
      </c>
      <c r="F2" s="10" t="n">
        <v>50</v>
      </c>
      <c r="G2" s="10" t="n">
        <v>47</v>
      </c>
      <c r="H2" s="10" t="n">
        <v>59</v>
      </c>
      <c r="I2" s="11" t="n">
        <v>100</v>
      </c>
      <c r="J2" s="10">
        <f>IFERROR(IF(AND(F2&lt;&gt;"",G2&lt;&gt;"",I2&lt;&gt;""),ABS(F2-G2)*I2,""),"")</f>
        <v/>
      </c>
      <c r="K2" s="12">
        <f>IFERROR(IF(AND(F2&lt;&gt;"",G2&lt;&gt;"",H2&lt;&gt;""),ABS(H2-F2)/ABS(F2-G2),""),"")</f>
        <v/>
      </c>
      <c r="L2" s="9" t="n">
        <v>46188</v>
      </c>
      <c r="M2" s="10" t="n">
        <v>57</v>
      </c>
      <c r="N2" s="10" t="n">
        <v>5</v>
      </c>
      <c r="O2" s="13">
        <f>IFERROR(IF(AND(M2&lt;&gt;"",F2&lt;&gt;"",I2&lt;&gt;""),IF(D2="Long",(M2-F2)*I2-IF(N2&lt;&gt;"",N2,0),IF(D2="Short",(F2-M2)*I2-IF(N2&lt;&gt;"",N2,0),"")),""),"")</f>
        <v/>
      </c>
      <c r="P2" s="14">
        <f>IFERROR(IF(AND(O2&lt;&gt;"",F2&lt;&gt;"",I2&lt;&gt;""),O2/(F2*I2),""),"")</f>
        <v/>
      </c>
      <c r="Q2" s="15">
        <f>IFERROR(IF(AND(O2&lt;&gt;"",J2&lt;&gt;"",J2&lt;&gt;0),O2/J2,""),"")</f>
        <v/>
      </c>
      <c r="R2" s="16">
        <f>IFERROR(IF(AND(L2&lt;&gt;"",B2&lt;&gt;""),L2-B2,""),"")</f>
        <v/>
      </c>
      <c r="S2" s="8" t="inlineStr">
        <is>
          <t>None</t>
        </is>
      </c>
      <c r="T2" s="8" t="inlineStr">
        <is>
          <t>EXAMPLE — delete me</t>
        </is>
      </c>
      <c r="U2" s="17" t="n">
        <v>1</v>
      </c>
      <c r="V2" s="18">
        <f>IF(O2&lt;&gt;"",O2,0)</f>
        <v/>
      </c>
    </row>
    <row r="3">
      <c r="A3" s="19" t="n">
        <v>2</v>
      </c>
      <c r="B3" s="20" t="n">
        <v>46183</v>
      </c>
      <c r="C3" s="19" t="inlineStr">
        <is>
          <t>MSFT</t>
        </is>
      </c>
      <c r="D3" s="19" t="inlineStr">
        <is>
          <t>Long</t>
        </is>
      </c>
      <c r="E3" s="19" t="inlineStr">
        <is>
          <t>Pullback to rising 50-day</t>
        </is>
      </c>
      <c r="F3" s="21" t="n">
        <v>120</v>
      </c>
      <c r="G3" s="21" t="n">
        <v>115</v>
      </c>
      <c r="H3" s="21" t="n">
        <v>135</v>
      </c>
      <c r="I3" s="22" t="n">
        <v>50</v>
      </c>
      <c r="J3" s="21">
        <f>IFERROR(IF(AND(F3&lt;&gt;"",G3&lt;&gt;"",I3&lt;&gt;""),ABS(F3-G3)*I3,""),"")</f>
        <v/>
      </c>
      <c r="K3" s="23">
        <f>IFERROR(IF(AND(F3&lt;&gt;"",G3&lt;&gt;"",H3&lt;&gt;""),ABS(H3-F3)/ABS(F3-G3),""),"")</f>
        <v/>
      </c>
      <c r="L3" s="20" t="n">
        <v>46191</v>
      </c>
      <c r="M3" s="21" t="n">
        <v>113</v>
      </c>
      <c r="N3" s="21" t="n">
        <v>3</v>
      </c>
      <c r="O3" s="24">
        <f>IFERROR(IF(AND(M3&lt;&gt;"",F3&lt;&gt;"",I3&lt;&gt;""),IF(D3="Long",(M3-F3)*I3-IF(N3&lt;&gt;"",N3,0),IF(D3="Short",(F3-M3)*I3-IF(N3&lt;&gt;"",N3,0),"")),""),"")</f>
        <v/>
      </c>
      <c r="P3" s="25">
        <f>IFERROR(IF(AND(O3&lt;&gt;"",F3&lt;&gt;"",I3&lt;&gt;""),O3/(F3*I3),""),"")</f>
        <v/>
      </c>
      <c r="Q3" s="26">
        <f>IFERROR(IF(AND(O3&lt;&gt;"",J3&lt;&gt;"",J3&lt;&gt;0),O3/J3,""),"")</f>
        <v/>
      </c>
      <c r="R3" s="27">
        <f>IFERROR(IF(AND(L3&lt;&gt;"",B3&lt;&gt;""),L3-B3,""),"")</f>
        <v/>
      </c>
      <c r="S3" s="19" t="inlineStr">
        <is>
          <t>Moved stop</t>
        </is>
      </c>
      <c r="T3" s="19" t="inlineStr">
        <is>
          <t>EXAMPLE — delete me</t>
        </is>
      </c>
      <c r="U3" s="17" t="n">
        <v>2</v>
      </c>
      <c r="V3" s="18">
        <f>IF(O3&lt;&gt;"",V2+O3,V2)</f>
        <v/>
      </c>
    </row>
    <row r="4">
      <c r="A4" s="8" t="n">
        <v>3</v>
      </c>
      <c r="B4" s="9" t="n">
        <v>46193</v>
      </c>
      <c r="C4" s="8" t="inlineStr">
        <is>
          <t>SPY</t>
        </is>
      </c>
      <c r="D4" s="8" t="inlineStr">
        <is>
          <t>Short</t>
        </is>
      </c>
      <c r="E4" s="8" t="inlineStr">
        <is>
          <t>Post-earnings drift</t>
        </is>
      </c>
      <c r="F4" s="10" t="n">
        <v>80</v>
      </c>
      <c r="G4" s="10" t="n">
        <v>85</v>
      </c>
      <c r="H4" s="10" t="n">
        <v>65</v>
      </c>
      <c r="I4" s="11" t="n">
        <v>75</v>
      </c>
      <c r="J4" s="10">
        <f>IFERROR(IF(AND(F4&lt;&gt;"",G4&lt;&gt;"",I4&lt;&gt;""),ABS(F4-G4)*I4,""),"")</f>
        <v/>
      </c>
      <c r="K4" s="12">
        <f>IFERROR(IF(AND(F4&lt;&gt;"",G4&lt;&gt;"",H4&lt;&gt;""),ABS(H4-F4)/ABS(F4-G4),""),"")</f>
        <v/>
      </c>
      <c r="L4" s="9" t="n">
        <v>46204</v>
      </c>
      <c r="M4" s="10" t="n">
        <v>70</v>
      </c>
      <c r="N4" s="10" t="n">
        <v>4</v>
      </c>
      <c r="O4" s="13">
        <f>IFERROR(IF(AND(M4&lt;&gt;"",F4&lt;&gt;"",I4&lt;&gt;""),IF(D4="Long",(M4-F4)*I4-IF(N4&lt;&gt;"",N4,0),IF(D4="Short",(F4-M4)*I4-IF(N4&lt;&gt;"",N4,0),"")),""),"")</f>
        <v/>
      </c>
      <c r="P4" s="14">
        <f>IFERROR(IF(AND(O4&lt;&gt;"",F4&lt;&gt;"",I4&lt;&gt;""),O4/(F4*I4),""),"")</f>
        <v/>
      </c>
      <c r="Q4" s="15">
        <f>IFERROR(IF(AND(O4&lt;&gt;"",J4&lt;&gt;"",J4&lt;&gt;0),O4/J4,""),"")</f>
        <v/>
      </c>
      <c r="R4" s="16">
        <f>IFERROR(IF(AND(L4&lt;&gt;"",B4&lt;&gt;""),L4-B4,""),"")</f>
        <v/>
      </c>
      <c r="S4" s="8" t="inlineStr">
        <is>
          <t>None</t>
        </is>
      </c>
      <c r="T4" s="8" t="inlineStr">
        <is>
          <t>EXAMPLE — delete me</t>
        </is>
      </c>
      <c r="U4" s="17" t="n">
        <v>3</v>
      </c>
      <c r="V4" s="18">
        <f>IF(O4&lt;&gt;"",V3+O4,V3)</f>
        <v/>
      </c>
    </row>
    <row r="5">
      <c r="A5" s="19" t="n"/>
      <c r="B5" s="20" t="n"/>
      <c r="C5" s="19" t="n"/>
      <c r="D5" s="19" t="n"/>
      <c r="E5" s="19" t="n"/>
      <c r="F5" s="21" t="n"/>
      <c r="G5" s="21" t="n"/>
      <c r="H5" s="21" t="n"/>
      <c r="I5" s="22" t="n"/>
      <c r="J5" s="21">
        <f>IFERROR(IF(AND(F5&lt;&gt;"",G5&lt;&gt;"",I5&lt;&gt;""),ABS(F5-G5)*I5,""),"")</f>
        <v/>
      </c>
      <c r="K5" s="23">
        <f>IFERROR(IF(AND(F5&lt;&gt;"",G5&lt;&gt;"",H5&lt;&gt;""),ABS(H5-F5)/ABS(F5-G5),""),"")</f>
        <v/>
      </c>
      <c r="L5" s="20" t="n"/>
      <c r="M5" s="21" t="n"/>
      <c r="N5" s="21" t="n"/>
      <c r="O5" s="24">
        <f>IFERROR(IF(AND(M5&lt;&gt;"",F5&lt;&gt;"",I5&lt;&gt;""),IF(D5="Long",(M5-F5)*I5-IF(N5&lt;&gt;"",N5,0),IF(D5="Short",(F5-M5)*I5-IF(N5&lt;&gt;"",N5,0),"")),""),"")</f>
        <v/>
      </c>
      <c r="P5" s="25">
        <f>IFERROR(IF(AND(O5&lt;&gt;"",F5&lt;&gt;"",I5&lt;&gt;""),O5/(F5*I5),""),"")</f>
        <v/>
      </c>
      <c r="Q5" s="26">
        <f>IFERROR(IF(AND(O5&lt;&gt;"",J5&lt;&gt;"",J5&lt;&gt;0),O5/J5,""),"")</f>
        <v/>
      </c>
      <c r="R5" s="27">
        <f>IFERROR(IF(AND(L5&lt;&gt;"",B5&lt;&gt;""),L5-B5,""),"")</f>
        <v/>
      </c>
      <c r="S5" s="19" t="n"/>
      <c r="T5" s="19" t="n"/>
      <c r="U5" s="17">
        <f>IF(O5&lt;&gt;"",4,"")</f>
        <v/>
      </c>
      <c r="V5" s="18">
        <f>IF(O5&lt;&gt;"",V4+O5,V4)</f>
        <v/>
      </c>
    </row>
    <row r="6">
      <c r="A6" s="8" t="n"/>
      <c r="B6" s="9" t="n"/>
      <c r="C6" s="8" t="n"/>
      <c r="D6" s="8" t="n"/>
      <c r="E6" s="8" t="n"/>
      <c r="F6" s="10" t="n"/>
      <c r="G6" s="10" t="n"/>
      <c r="H6" s="10" t="n"/>
      <c r="I6" s="11" t="n"/>
      <c r="J6" s="10">
        <f>IFERROR(IF(AND(F6&lt;&gt;"",G6&lt;&gt;"",I6&lt;&gt;""),ABS(F6-G6)*I6,""),"")</f>
        <v/>
      </c>
      <c r="K6" s="12">
        <f>IFERROR(IF(AND(F6&lt;&gt;"",G6&lt;&gt;"",H6&lt;&gt;""),ABS(H6-F6)/ABS(F6-G6),""),"")</f>
        <v/>
      </c>
      <c r="L6" s="9" t="n"/>
      <c r="M6" s="10" t="n"/>
      <c r="N6" s="10" t="n"/>
      <c r="O6" s="13">
        <f>IFERROR(IF(AND(M6&lt;&gt;"",F6&lt;&gt;"",I6&lt;&gt;""),IF(D6="Long",(M6-F6)*I6-IF(N6&lt;&gt;"",N6,0),IF(D6="Short",(F6-M6)*I6-IF(N6&lt;&gt;"",N6,0),"")),""),"")</f>
        <v/>
      </c>
      <c r="P6" s="14">
        <f>IFERROR(IF(AND(O6&lt;&gt;"",F6&lt;&gt;"",I6&lt;&gt;""),O6/(F6*I6),""),"")</f>
        <v/>
      </c>
      <c r="Q6" s="15">
        <f>IFERROR(IF(AND(O6&lt;&gt;"",J6&lt;&gt;"",J6&lt;&gt;0),O6/J6,""),"")</f>
        <v/>
      </c>
      <c r="R6" s="16">
        <f>IFERROR(IF(AND(L6&lt;&gt;"",B6&lt;&gt;""),L6-B6,""),"")</f>
        <v/>
      </c>
      <c r="S6" s="8" t="n"/>
      <c r="T6" s="8" t="n"/>
      <c r="U6" s="17">
        <f>IF(O6&lt;&gt;"",5,"")</f>
        <v/>
      </c>
      <c r="V6" s="18">
        <f>IF(O6&lt;&gt;"",V5+O6,V5)</f>
        <v/>
      </c>
    </row>
    <row r="7">
      <c r="A7" s="19" t="n"/>
      <c r="B7" s="20" t="n"/>
      <c r="C7" s="19" t="n"/>
      <c r="D7" s="19" t="n"/>
      <c r="E7" s="19" t="n"/>
      <c r="F7" s="21" t="n"/>
      <c r="G7" s="21" t="n"/>
      <c r="H7" s="21" t="n"/>
      <c r="I7" s="22" t="n"/>
      <c r="J7" s="21">
        <f>IFERROR(IF(AND(F7&lt;&gt;"",G7&lt;&gt;"",I7&lt;&gt;""),ABS(F7-G7)*I7,""),"")</f>
        <v/>
      </c>
      <c r="K7" s="23">
        <f>IFERROR(IF(AND(F7&lt;&gt;"",G7&lt;&gt;"",H7&lt;&gt;""),ABS(H7-F7)/ABS(F7-G7),""),"")</f>
        <v/>
      </c>
      <c r="L7" s="20" t="n"/>
      <c r="M7" s="21" t="n"/>
      <c r="N7" s="21" t="n"/>
      <c r="O7" s="24">
        <f>IFERROR(IF(AND(M7&lt;&gt;"",F7&lt;&gt;"",I7&lt;&gt;""),IF(D7="Long",(M7-F7)*I7-IF(N7&lt;&gt;"",N7,0),IF(D7="Short",(F7-M7)*I7-IF(N7&lt;&gt;"",N7,0),"")),""),"")</f>
        <v/>
      </c>
      <c r="P7" s="25">
        <f>IFERROR(IF(AND(O7&lt;&gt;"",F7&lt;&gt;"",I7&lt;&gt;""),O7/(F7*I7),""),"")</f>
        <v/>
      </c>
      <c r="Q7" s="26">
        <f>IFERROR(IF(AND(O7&lt;&gt;"",J7&lt;&gt;"",J7&lt;&gt;0),O7/J7,""),"")</f>
        <v/>
      </c>
      <c r="R7" s="27">
        <f>IFERROR(IF(AND(L7&lt;&gt;"",B7&lt;&gt;""),L7-B7,""),"")</f>
        <v/>
      </c>
      <c r="S7" s="19" t="n"/>
      <c r="T7" s="19" t="n"/>
      <c r="U7" s="17">
        <f>IF(O7&lt;&gt;"",6,"")</f>
        <v/>
      </c>
      <c r="V7" s="18">
        <f>IF(O7&lt;&gt;"",V6+O7,V6)</f>
        <v/>
      </c>
    </row>
    <row r="8">
      <c r="A8" s="8" t="n"/>
      <c r="B8" s="9" t="n"/>
      <c r="C8" s="8" t="n"/>
      <c r="D8" s="8" t="n"/>
      <c r="E8" s="8" t="n"/>
      <c r="F8" s="10" t="n"/>
      <c r="G8" s="10" t="n"/>
      <c r="H8" s="10" t="n"/>
      <c r="I8" s="11" t="n"/>
      <c r="J8" s="10">
        <f>IFERROR(IF(AND(F8&lt;&gt;"",G8&lt;&gt;"",I8&lt;&gt;""),ABS(F8-G8)*I8,""),"")</f>
        <v/>
      </c>
      <c r="K8" s="12">
        <f>IFERROR(IF(AND(F8&lt;&gt;"",G8&lt;&gt;"",H8&lt;&gt;""),ABS(H8-F8)/ABS(F8-G8),""),"")</f>
        <v/>
      </c>
      <c r="L8" s="9" t="n"/>
      <c r="M8" s="10" t="n"/>
      <c r="N8" s="10" t="n"/>
      <c r="O8" s="13">
        <f>IFERROR(IF(AND(M8&lt;&gt;"",F8&lt;&gt;"",I8&lt;&gt;""),IF(D8="Long",(M8-F8)*I8-IF(N8&lt;&gt;"",N8,0),IF(D8="Short",(F8-M8)*I8-IF(N8&lt;&gt;"",N8,0),"")),""),"")</f>
        <v/>
      </c>
      <c r="P8" s="14">
        <f>IFERROR(IF(AND(O8&lt;&gt;"",F8&lt;&gt;"",I8&lt;&gt;""),O8/(F8*I8),""),"")</f>
        <v/>
      </c>
      <c r="Q8" s="15">
        <f>IFERROR(IF(AND(O8&lt;&gt;"",J8&lt;&gt;"",J8&lt;&gt;0),O8/J8,""),"")</f>
        <v/>
      </c>
      <c r="R8" s="16">
        <f>IFERROR(IF(AND(L8&lt;&gt;"",B8&lt;&gt;""),L8-B8,""),"")</f>
        <v/>
      </c>
      <c r="S8" s="8" t="n"/>
      <c r="T8" s="8" t="n"/>
      <c r="U8" s="17">
        <f>IF(O8&lt;&gt;"",7,"")</f>
        <v/>
      </c>
      <c r="V8" s="18">
        <f>IF(O8&lt;&gt;"",V7+O8,V7)</f>
        <v/>
      </c>
    </row>
    <row r="9">
      <c r="A9" s="19" t="n"/>
      <c r="B9" s="20" t="n"/>
      <c r="C9" s="19" t="n"/>
      <c r="D9" s="19" t="n"/>
      <c r="E9" s="19" t="n"/>
      <c r="F9" s="21" t="n"/>
      <c r="G9" s="21" t="n"/>
      <c r="H9" s="21" t="n"/>
      <c r="I9" s="22" t="n"/>
      <c r="J9" s="21">
        <f>IFERROR(IF(AND(F9&lt;&gt;"",G9&lt;&gt;"",I9&lt;&gt;""),ABS(F9-G9)*I9,""),"")</f>
        <v/>
      </c>
      <c r="K9" s="23">
        <f>IFERROR(IF(AND(F9&lt;&gt;"",G9&lt;&gt;"",H9&lt;&gt;""),ABS(H9-F9)/ABS(F9-G9),""),"")</f>
        <v/>
      </c>
      <c r="L9" s="20" t="n"/>
      <c r="M9" s="21" t="n"/>
      <c r="N9" s="21" t="n"/>
      <c r="O9" s="24">
        <f>IFERROR(IF(AND(M9&lt;&gt;"",F9&lt;&gt;"",I9&lt;&gt;""),IF(D9="Long",(M9-F9)*I9-IF(N9&lt;&gt;"",N9,0),IF(D9="Short",(F9-M9)*I9-IF(N9&lt;&gt;"",N9,0),"")),""),"")</f>
        <v/>
      </c>
      <c r="P9" s="25">
        <f>IFERROR(IF(AND(O9&lt;&gt;"",F9&lt;&gt;"",I9&lt;&gt;""),O9/(F9*I9),""),"")</f>
        <v/>
      </c>
      <c r="Q9" s="26">
        <f>IFERROR(IF(AND(O9&lt;&gt;"",J9&lt;&gt;"",J9&lt;&gt;0),O9/J9,""),"")</f>
        <v/>
      </c>
      <c r="R9" s="27">
        <f>IFERROR(IF(AND(L9&lt;&gt;"",B9&lt;&gt;""),L9-B9,""),"")</f>
        <v/>
      </c>
      <c r="S9" s="19" t="n"/>
      <c r="T9" s="19" t="n"/>
      <c r="U9" s="17">
        <f>IF(O9&lt;&gt;"",8,"")</f>
        <v/>
      </c>
      <c r="V9" s="18">
        <f>IF(O9&lt;&gt;"",V8+O9,V8)</f>
        <v/>
      </c>
    </row>
    <row r="10">
      <c r="A10" s="8" t="n"/>
      <c r="B10" s="9" t="n"/>
      <c r="C10" s="8" t="n"/>
      <c r="D10" s="8" t="n"/>
      <c r="E10" s="8" t="n"/>
      <c r="F10" s="10" t="n"/>
      <c r="G10" s="10" t="n"/>
      <c r="H10" s="10" t="n"/>
      <c r="I10" s="11" t="n"/>
      <c r="J10" s="10">
        <f>IFERROR(IF(AND(F10&lt;&gt;"",G10&lt;&gt;"",I10&lt;&gt;""),ABS(F10-G10)*I10,""),"")</f>
        <v/>
      </c>
      <c r="K10" s="12">
        <f>IFERROR(IF(AND(F10&lt;&gt;"",G10&lt;&gt;"",H10&lt;&gt;""),ABS(H10-F10)/ABS(F10-G10),""),"")</f>
        <v/>
      </c>
      <c r="L10" s="9" t="n"/>
      <c r="M10" s="10" t="n"/>
      <c r="N10" s="10" t="n"/>
      <c r="O10" s="13">
        <f>IFERROR(IF(AND(M10&lt;&gt;"",F10&lt;&gt;"",I10&lt;&gt;""),IF(D10="Long",(M10-F10)*I10-IF(N10&lt;&gt;"",N10,0),IF(D10="Short",(F10-M10)*I10-IF(N10&lt;&gt;"",N10,0),"")),""),"")</f>
        <v/>
      </c>
      <c r="P10" s="14">
        <f>IFERROR(IF(AND(O10&lt;&gt;"",F10&lt;&gt;"",I10&lt;&gt;""),O10/(F10*I10),""),"")</f>
        <v/>
      </c>
      <c r="Q10" s="15">
        <f>IFERROR(IF(AND(O10&lt;&gt;"",J10&lt;&gt;"",J10&lt;&gt;0),O10/J10,""),"")</f>
        <v/>
      </c>
      <c r="R10" s="16">
        <f>IFERROR(IF(AND(L10&lt;&gt;"",B10&lt;&gt;""),L10-B10,""),"")</f>
        <v/>
      </c>
      <c r="S10" s="8" t="n"/>
      <c r="T10" s="8" t="n"/>
      <c r="U10" s="17">
        <f>IF(O10&lt;&gt;"",9,"")</f>
        <v/>
      </c>
      <c r="V10" s="18">
        <f>IF(O10&lt;&gt;"",V9+O10,V9)</f>
        <v/>
      </c>
    </row>
    <row r="11">
      <c r="A11" s="19" t="n"/>
      <c r="B11" s="20" t="n"/>
      <c r="C11" s="19" t="n"/>
      <c r="D11" s="19" t="n"/>
      <c r="E11" s="19" t="n"/>
      <c r="F11" s="21" t="n"/>
      <c r="G11" s="21" t="n"/>
      <c r="H11" s="21" t="n"/>
      <c r="I11" s="22" t="n"/>
      <c r="J11" s="21">
        <f>IFERROR(IF(AND(F11&lt;&gt;"",G11&lt;&gt;"",I11&lt;&gt;""),ABS(F11-G11)*I11,""),"")</f>
        <v/>
      </c>
      <c r="K11" s="23">
        <f>IFERROR(IF(AND(F11&lt;&gt;"",G11&lt;&gt;"",H11&lt;&gt;""),ABS(H11-F11)/ABS(F11-G11),""),"")</f>
        <v/>
      </c>
      <c r="L11" s="20" t="n"/>
      <c r="M11" s="21" t="n"/>
      <c r="N11" s="21" t="n"/>
      <c r="O11" s="24">
        <f>IFERROR(IF(AND(M11&lt;&gt;"",F11&lt;&gt;"",I11&lt;&gt;""),IF(D11="Long",(M11-F11)*I11-IF(N11&lt;&gt;"",N11,0),IF(D11="Short",(F11-M11)*I11-IF(N11&lt;&gt;"",N11,0),"")),""),"")</f>
        <v/>
      </c>
      <c r="P11" s="25">
        <f>IFERROR(IF(AND(O11&lt;&gt;"",F11&lt;&gt;"",I11&lt;&gt;""),O11/(F11*I11),""),"")</f>
        <v/>
      </c>
      <c r="Q11" s="26">
        <f>IFERROR(IF(AND(O11&lt;&gt;"",J11&lt;&gt;"",J11&lt;&gt;0),O11/J11,""),"")</f>
        <v/>
      </c>
      <c r="R11" s="27">
        <f>IFERROR(IF(AND(L11&lt;&gt;"",B11&lt;&gt;""),L11-B11,""),"")</f>
        <v/>
      </c>
      <c r="S11" s="19" t="n"/>
      <c r="T11" s="19" t="n"/>
      <c r="U11" s="17">
        <f>IF(O11&lt;&gt;"",10,"")</f>
        <v/>
      </c>
      <c r="V11" s="18">
        <f>IF(O11&lt;&gt;"",V10+O11,V10)</f>
        <v/>
      </c>
    </row>
    <row r="12">
      <c r="A12" s="8" t="n"/>
      <c r="B12" s="9" t="n"/>
      <c r="C12" s="8" t="n"/>
      <c r="D12" s="8" t="n"/>
      <c r="E12" s="8" t="n"/>
      <c r="F12" s="10" t="n"/>
      <c r="G12" s="10" t="n"/>
      <c r="H12" s="10" t="n"/>
      <c r="I12" s="11" t="n"/>
      <c r="J12" s="10">
        <f>IFERROR(IF(AND(F12&lt;&gt;"",G12&lt;&gt;"",I12&lt;&gt;""),ABS(F12-G12)*I12,""),"")</f>
        <v/>
      </c>
      <c r="K12" s="12">
        <f>IFERROR(IF(AND(F12&lt;&gt;"",G12&lt;&gt;"",H12&lt;&gt;""),ABS(H12-F12)/ABS(F12-G12),""),"")</f>
        <v/>
      </c>
      <c r="L12" s="9" t="n"/>
      <c r="M12" s="10" t="n"/>
      <c r="N12" s="10" t="n"/>
      <c r="O12" s="13">
        <f>IFERROR(IF(AND(M12&lt;&gt;"",F12&lt;&gt;"",I12&lt;&gt;""),IF(D12="Long",(M12-F12)*I12-IF(N12&lt;&gt;"",N12,0),IF(D12="Short",(F12-M12)*I12-IF(N12&lt;&gt;"",N12,0),"")),""),"")</f>
        <v/>
      </c>
      <c r="P12" s="14">
        <f>IFERROR(IF(AND(O12&lt;&gt;"",F12&lt;&gt;"",I12&lt;&gt;""),O12/(F12*I12),""),"")</f>
        <v/>
      </c>
      <c r="Q12" s="15">
        <f>IFERROR(IF(AND(O12&lt;&gt;"",J12&lt;&gt;"",J12&lt;&gt;0),O12/J12,""),"")</f>
        <v/>
      </c>
      <c r="R12" s="16">
        <f>IFERROR(IF(AND(L12&lt;&gt;"",B12&lt;&gt;""),L12-B12,""),"")</f>
        <v/>
      </c>
      <c r="S12" s="8" t="n"/>
      <c r="T12" s="8" t="n"/>
      <c r="U12" s="17">
        <f>IF(O12&lt;&gt;"",11,"")</f>
        <v/>
      </c>
      <c r="V12" s="18">
        <f>IF(O12&lt;&gt;"",V11+O12,V11)</f>
        <v/>
      </c>
    </row>
    <row r="13">
      <c r="A13" s="19" t="n"/>
      <c r="B13" s="20" t="n"/>
      <c r="C13" s="19" t="n"/>
      <c r="D13" s="19" t="n"/>
      <c r="E13" s="19" t="n"/>
      <c r="F13" s="21" t="n"/>
      <c r="G13" s="21" t="n"/>
      <c r="H13" s="21" t="n"/>
      <c r="I13" s="22" t="n"/>
      <c r="J13" s="21">
        <f>IFERROR(IF(AND(F13&lt;&gt;"",G13&lt;&gt;"",I13&lt;&gt;""),ABS(F13-G13)*I13,""),"")</f>
        <v/>
      </c>
      <c r="K13" s="23">
        <f>IFERROR(IF(AND(F13&lt;&gt;"",G13&lt;&gt;"",H13&lt;&gt;""),ABS(H13-F13)/ABS(F13-G13),""),"")</f>
        <v/>
      </c>
      <c r="L13" s="20" t="n"/>
      <c r="M13" s="21" t="n"/>
      <c r="N13" s="21" t="n"/>
      <c r="O13" s="24">
        <f>IFERROR(IF(AND(M13&lt;&gt;"",F13&lt;&gt;"",I13&lt;&gt;""),IF(D13="Long",(M13-F13)*I13-IF(N13&lt;&gt;"",N13,0),IF(D13="Short",(F13-M13)*I13-IF(N13&lt;&gt;"",N13,0),"")),""),"")</f>
        <v/>
      </c>
      <c r="P13" s="25">
        <f>IFERROR(IF(AND(O13&lt;&gt;"",F13&lt;&gt;"",I13&lt;&gt;""),O13/(F13*I13),""),"")</f>
        <v/>
      </c>
      <c r="Q13" s="26">
        <f>IFERROR(IF(AND(O13&lt;&gt;"",J13&lt;&gt;"",J13&lt;&gt;0),O13/J13,""),"")</f>
        <v/>
      </c>
      <c r="R13" s="27">
        <f>IFERROR(IF(AND(L13&lt;&gt;"",B13&lt;&gt;""),L13-B13,""),"")</f>
        <v/>
      </c>
      <c r="S13" s="19" t="n"/>
      <c r="T13" s="19" t="n"/>
      <c r="U13" s="17">
        <f>IF(O13&lt;&gt;"",12,"")</f>
        <v/>
      </c>
      <c r="V13" s="18">
        <f>IF(O13&lt;&gt;"",V12+O13,V12)</f>
        <v/>
      </c>
    </row>
    <row r="14">
      <c r="A14" s="8" t="n"/>
      <c r="B14" s="9" t="n"/>
      <c r="C14" s="8" t="n"/>
      <c r="D14" s="8" t="n"/>
      <c r="E14" s="8" t="n"/>
      <c r="F14" s="10" t="n"/>
      <c r="G14" s="10" t="n"/>
      <c r="H14" s="10" t="n"/>
      <c r="I14" s="11" t="n"/>
      <c r="J14" s="10">
        <f>IFERROR(IF(AND(F14&lt;&gt;"",G14&lt;&gt;"",I14&lt;&gt;""),ABS(F14-G14)*I14,""),"")</f>
        <v/>
      </c>
      <c r="K14" s="12">
        <f>IFERROR(IF(AND(F14&lt;&gt;"",G14&lt;&gt;"",H14&lt;&gt;""),ABS(H14-F14)/ABS(F14-G14),""),"")</f>
        <v/>
      </c>
      <c r="L14" s="9" t="n"/>
      <c r="M14" s="10" t="n"/>
      <c r="N14" s="10" t="n"/>
      <c r="O14" s="13">
        <f>IFERROR(IF(AND(M14&lt;&gt;"",F14&lt;&gt;"",I14&lt;&gt;""),IF(D14="Long",(M14-F14)*I14-IF(N14&lt;&gt;"",N14,0),IF(D14="Short",(F14-M14)*I14-IF(N14&lt;&gt;"",N14,0),"")),""),"")</f>
        <v/>
      </c>
      <c r="P14" s="14">
        <f>IFERROR(IF(AND(O14&lt;&gt;"",F14&lt;&gt;"",I14&lt;&gt;""),O14/(F14*I14),""),"")</f>
        <v/>
      </c>
      <c r="Q14" s="15">
        <f>IFERROR(IF(AND(O14&lt;&gt;"",J14&lt;&gt;"",J14&lt;&gt;0),O14/J14,""),"")</f>
        <v/>
      </c>
      <c r="R14" s="16">
        <f>IFERROR(IF(AND(L14&lt;&gt;"",B14&lt;&gt;""),L14-B14,""),"")</f>
        <v/>
      </c>
      <c r="S14" s="8" t="n"/>
      <c r="T14" s="8" t="n"/>
      <c r="U14" s="17">
        <f>IF(O14&lt;&gt;"",13,"")</f>
        <v/>
      </c>
      <c r="V14" s="18">
        <f>IF(O14&lt;&gt;"",V13+O14,V13)</f>
        <v/>
      </c>
    </row>
    <row r="15">
      <c r="A15" s="19" t="n"/>
      <c r="B15" s="20" t="n"/>
      <c r="C15" s="19" t="n"/>
      <c r="D15" s="19" t="n"/>
      <c r="E15" s="19" t="n"/>
      <c r="F15" s="21" t="n"/>
      <c r="G15" s="21" t="n"/>
      <c r="H15" s="21" t="n"/>
      <c r="I15" s="22" t="n"/>
      <c r="J15" s="21">
        <f>IFERROR(IF(AND(F15&lt;&gt;"",G15&lt;&gt;"",I15&lt;&gt;""),ABS(F15-G15)*I15,""),"")</f>
        <v/>
      </c>
      <c r="K15" s="23">
        <f>IFERROR(IF(AND(F15&lt;&gt;"",G15&lt;&gt;"",H15&lt;&gt;""),ABS(H15-F15)/ABS(F15-G15),""),"")</f>
        <v/>
      </c>
      <c r="L15" s="20" t="n"/>
      <c r="M15" s="21" t="n"/>
      <c r="N15" s="21" t="n"/>
      <c r="O15" s="24">
        <f>IFERROR(IF(AND(M15&lt;&gt;"",F15&lt;&gt;"",I15&lt;&gt;""),IF(D15="Long",(M15-F15)*I15-IF(N15&lt;&gt;"",N15,0),IF(D15="Short",(F15-M15)*I15-IF(N15&lt;&gt;"",N15,0),"")),""),"")</f>
        <v/>
      </c>
      <c r="P15" s="25">
        <f>IFERROR(IF(AND(O15&lt;&gt;"",F15&lt;&gt;"",I15&lt;&gt;""),O15/(F15*I15),""),"")</f>
        <v/>
      </c>
      <c r="Q15" s="26">
        <f>IFERROR(IF(AND(O15&lt;&gt;"",J15&lt;&gt;"",J15&lt;&gt;0),O15/J15,""),"")</f>
        <v/>
      </c>
      <c r="R15" s="27">
        <f>IFERROR(IF(AND(L15&lt;&gt;"",B15&lt;&gt;""),L15-B15,""),"")</f>
        <v/>
      </c>
      <c r="S15" s="19" t="n"/>
      <c r="T15" s="19" t="n"/>
      <c r="U15" s="17">
        <f>IF(O15&lt;&gt;"",14,"")</f>
        <v/>
      </c>
      <c r="V15" s="18">
        <f>IF(O15&lt;&gt;"",V14+O15,V14)</f>
        <v/>
      </c>
    </row>
    <row r="16">
      <c r="A16" s="8" t="n"/>
      <c r="B16" s="9" t="n"/>
      <c r="C16" s="8" t="n"/>
      <c r="D16" s="8" t="n"/>
      <c r="E16" s="8" t="n"/>
      <c r="F16" s="10" t="n"/>
      <c r="G16" s="10" t="n"/>
      <c r="H16" s="10" t="n"/>
      <c r="I16" s="11" t="n"/>
      <c r="J16" s="10">
        <f>IFERROR(IF(AND(F16&lt;&gt;"",G16&lt;&gt;"",I16&lt;&gt;""),ABS(F16-G16)*I16,""),"")</f>
        <v/>
      </c>
      <c r="K16" s="12">
        <f>IFERROR(IF(AND(F16&lt;&gt;"",G16&lt;&gt;"",H16&lt;&gt;""),ABS(H16-F16)/ABS(F16-G16),""),"")</f>
        <v/>
      </c>
      <c r="L16" s="9" t="n"/>
      <c r="M16" s="10" t="n"/>
      <c r="N16" s="10" t="n"/>
      <c r="O16" s="13">
        <f>IFERROR(IF(AND(M16&lt;&gt;"",F16&lt;&gt;"",I16&lt;&gt;""),IF(D16="Long",(M16-F16)*I16-IF(N16&lt;&gt;"",N16,0),IF(D16="Short",(F16-M16)*I16-IF(N16&lt;&gt;"",N16,0),"")),""),"")</f>
        <v/>
      </c>
      <c r="P16" s="14">
        <f>IFERROR(IF(AND(O16&lt;&gt;"",F16&lt;&gt;"",I16&lt;&gt;""),O16/(F16*I16),""),"")</f>
        <v/>
      </c>
      <c r="Q16" s="15">
        <f>IFERROR(IF(AND(O16&lt;&gt;"",J16&lt;&gt;"",J16&lt;&gt;0),O16/J16,""),"")</f>
        <v/>
      </c>
      <c r="R16" s="16">
        <f>IFERROR(IF(AND(L16&lt;&gt;"",B16&lt;&gt;""),L16-B16,""),"")</f>
        <v/>
      </c>
      <c r="S16" s="8" t="n"/>
      <c r="T16" s="8" t="n"/>
      <c r="U16" s="17">
        <f>IF(O16&lt;&gt;"",15,"")</f>
        <v/>
      </c>
      <c r="V16" s="18">
        <f>IF(O16&lt;&gt;"",V15+O16,V15)</f>
        <v/>
      </c>
    </row>
    <row r="17">
      <c r="A17" s="19" t="n"/>
      <c r="B17" s="20" t="n"/>
      <c r="C17" s="19" t="n"/>
      <c r="D17" s="19" t="n"/>
      <c r="E17" s="19" t="n"/>
      <c r="F17" s="21" t="n"/>
      <c r="G17" s="21" t="n"/>
      <c r="H17" s="21" t="n"/>
      <c r="I17" s="22" t="n"/>
      <c r="J17" s="21">
        <f>IFERROR(IF(AND(F17&lt;&gt;"",G17&lt;&gt;"",I17&lt;&gt;""),ABS(F17-G17)*I17,""),"")</f>
        <v/>
      </c>
      <c r="K17" s="23">
        <f>IFERROR(IF(AND(F17&lt;&gt;"",G17&lt;&gt;"",H17&lt;&gt;""),ABS(H17-F17)/ABS(F17-G17),""),"")</f>
        <v/>
      </c>
      <c r="L17" s="20" t="n"/>
      <c r="M17" s="21" t="n"/>
      <c r="N17" s="21" t="n"/>
      <c r="O17" s="24">
        <f>IFERROR(IF(AND(M17&lt;&gt;"",F17&lt;&gt;"",I17&lt;&gt;""),IF(D17="Long",(M17-F17)*I17-IF(N17&lt;&gt;"",N17,0),IF(D17="Short",(F17-M17)*I17-IF(N17&lt;&gt;"",N17,0),"")),""),"")</f>
        <v/>
      </c>
      <c r="P17" s="25">
        <f>IFERROR(IF(AND(O17&lt;&gt;"",F17&lt;&gt;"",I17&lt;&gt;""),O17/(F17*I17),""),"")</f>
        <v/>
      </c>
      <c r="Q17" s="26">
        <f>IFERROR(IF(AND(O17&lt;&gt;"",J17&lt;&gt;"",J17&lt;&gt;0),O17/J17,""),"")</f>
        <v/>
      </c>
      <c r="R17" s="27">
        <f>IFERROR(IF(AND(L17&lt;&gt;"",B17&lt;&gt;""),L17-B17,""),"")</f>
        <v/>
      </c>
      <c r="S17" s="19" t="n"/>
      <c r="T17" s="19" t="n"/>
      <c r="U17" s="17">
        <f>IF(O17&lt;&gt;"",16,"")</f>
        <v/>
      </c>
      <c r="V17" s="18">
        <f>IF(O17&lt;&gt;"",V16+O17,V16)</f>
        <v/>
      </c>
    </row>
    <row r="18">
      <c r="A18" s="8" t="n"/>
      <c r="B18" s="9" t="n"/>
      <c r="C18" s="8" t="n"/>
      <c r="D18" s="8" t="n"/>
      <c r="E18" s="8" t="n"/>
      <c r="F18" s="10" t="n"/>
      <c r="G18" s="10" t="n"/>
      <c r="H18" s="10" t="n"/>
      <c r="I18" s="11" t="n"/>
      <c r="J18" s="10">
        <f>IFERROR(IF(AND(F18&lt;&gt;"",G18&lt;&gt;"",I18&lt;&gt;""),ABS(F18-G18)*I18,""),"")</f>
        <v/>
      </c>
      <c r="K18" s="12">
        <f>IFERROR(IF(AND(F18&lt;&gt;"",G18&lt;&gt;"",H18&lt;&gt;""),ABS(H18-F18)/ABS(F18-G18),""),"")</f>
        <v/>
      </c>
      <c r="L18" s="9" t="n"/>
      <c r="M18" s="10" t="n"/>
      <c r="N18" s="10" t="n"/>
      <c r="O18" s="13">
        <f>IFERROR(IF(AND(M18&lt;&gt;"",F18&lt;&gt;"",I18&lt;&gt;""),IF(D18="Long",(M18-F18)*I18-IF(N18&lt;&gt;"",N18,0),IF(D18="Short",(F18-M18)*I18-IF(N18&lt;&gt;"",N18,0),"")),""),"")</f>
        <v/>
      </c>
      <c r="P18" s="14">
        <f>IFERROR(IF(AND(O18&lt;&gt;"",F18&lt;&gt;"",I18&lt;&gt;""),O18/(F18*I18),""),"")</f>
        <v/>
      </c>
      <c r="Q18" s="15">
        <f>IFERROR(IF(AND(O18&lt;&gt;"",J18&lt;&gt;"",J18&lt;&gt;0),O18/J18,""),"")</f>
        <v/>
      </c>
      <c r="R18" s="16">
        <f>IFERROR(IF(AND(L18&lt;&gt;"",B18&lt;&gt;""),L18-B18,""),"")</f>
        <v/>
      </c>
      <c r="S18" s="8" t="n"/>
      <c r="T18" s="8" t="n"/>
      <c r="U18" s="17">
        <f>IF(O18&lt;&gt;"",17,"")</f>
        <v/>
      </c>
      <c r="V18" s="18">
        <f>IF(O18&lt;&gt;"",V17+O18,V17)</f>
        <v/>
      </c>
    </row>
    <row r="19">
      <c r="A19" s="19" t="n"/>
      <c r="B19" s="20" t="n"/>
      <c r="C19" s="19" t="n"/>
      <c r="D19" s="19" t="n"/>
      <c r="E19" s="19" t="n"/>
      <c r="F19" s="21" t="n"/>
      <c r="G19" s="21" t="n"/>
      <c r="H19" s="21" t="n"/>
      <c r="I19" s="22" t="n"/>
      <c r="J19" s="21">
        <f>IFERROR(IF(AND(F19&lt;&gt;"",G19&lt;&gt;"",I19&lt;&gt;""),ABS(F19-G19)*I19,""),"")</f>
        <v/>
      </c>
      <c r="K19" s="23">
        <f>IFERROR(IF(AND(F19&lt;&gt;"",G19&lt;&gt;"",H19&lt;&gt;""),ABS(H19-F19)/ABS(F19-G19),""),"")</f>
        <v/>
      </c>
      <c r="L19" s="20" t="n"/>
      <c r="M19" s="21" t="n"/>
      <c r="N19" s="21" t="n"/>
      <c r="O19" s="24">
        <f>IFERROR(IF(AND(M19&lt;&gt;"",F19&lt;&gt;"",I19&lt;&gt;""),IF(D19="Long",(M19-F19)*I19-IF(N19&lt;&gt;"",N19,0),IF(D19="Short",(F19-M19)*I19-IF(N19&lt;&gt;"",N19,0),"")),""),"")</f>
        <v/>
      </c>
      <c r="P19" s="25">
        <f>IFERROR(IF(AND(O19&lt;&gt;"",F19&lt;&gt;"",I19&lt;&gt;""),O19/(F19*I19),""),"")</f>
        <v/>
      </c>
      <c r="Q19" s="26">
        <f>IFERROR(IF(AND(O19&lt;&gt;"",J19&lt;&gt;"",J19&lt;&gt;0),O19/J19,""),"")</f>
        <v/>
      </c>
      <c r="R19" s="27">
        <f>IFERROR(IF(AND(L19&lt;&gt;"",B19&lt;&gt;""),L19-B19,""),"")</f>
        <v/>
      </c>
      <c r="S19" s="19" t="n"/>
      <c r="T19" s="19" t="n"/>
      <c r="U19" s="17">
        <f>IF(O19&lt;&gt;"",18,"")</f>
        <v/>
      </c>
      <c r="V19" s="18">
        <f>IF(O19&lt;&gt;"",V18+O19,V18)</f>
        <v/>
      </c>
    </row>
    <row r="20">
      <c r="A20" s="8" t="n"/>
      <c r="B20" s="9" t="n"/>
      <c r="C20" s="8" t="n"/>
      <c r="D20" s="8" t="n"/>
      <c r="E20" s="8" t="n"/>
      <c r="F20" s="10" t="n"/>
      <c r="G20" s="10" t="n"/>
      <c r="H20" s="10" t="n"/>
      <c r="I20" s="11" t="n"/>
      <c r="J20" s="10">
        <f>IFERROR(IF(AND(F20&lt;&gt;"",G20&lt;&gt;"",I20&lt;&gt;""),ABS(F20-G20)*I20,""),"")</f>
        <v/>
      </c>
      <c r="K20" s="12">
        <f>IFERROR(IF(AND(F20&lt;&gt;"",G20&lt;&gt;"",H20&lt;&gt;""),ABS(H20-F20)/ABS(F20-G20),""),"")</f>
        <v/>
      </c>
      <c r="L20" s="9" t="n"/>
      <c r="M20" s="10" t="n"/>
      <c r="N20" s="10" t="n"/>
      <c r="O20" s="13">
        <f>IFERROR(IF(AND(M20&lt;&gt;"",F20&lt;&gt;"",I20&lt;&gt;""),IF(D20="Long",(M20-F20)*I20-IF(N20&lt;&gt;"",N20,0),IF(D20="Short",(F20-M20)*I20-IF(N20&lt;&gt;"",N20,0),"")),""),"")</f>
        <v/>
      </c>
      <c r="P20" s="14">
        <f>IFERROR(IF(AND(O20&lt;&gt;"",F20&lt;&gt;"",I20&lt;&gt;""),O20/(F20*I20),""),"")</f>
        <v/>
      </c>
      <c r="Q20" s="15">
        <f>IFERROR(IF(AND(O20&lt;&gt;"",J20&lt;&gt;"",J20&lt;&gt;0),O20/J20,""),"")</f>
        <v/>
      </c>
      <c r="R20" s="16">
        <f>IFERROR(IF(AND(L20&lt;&gt;"",B20&lt;&gt;""),L20-B20,""),"")</f>
        <v/>
      </c>
      <c r="S20" s="8" t="n"/>
      <c r="T20" s="8" t="n"/>
      <c r="U20" s="17">
        <f>IF(O20&lt;&gt;"",19,"")</f>
        <v/>
      </c>
      <c r="V20" s="18">
        <f>IF(O20&lt;&gt;"",V19+O20,V19)</f>
        <v/>
      </c>
    </row>
    <row r="21">
      <c r="A21" s="19" t="n"/>
      <c r="B21" s="20" t="n"/>
      <c r="C21" s="19" t="n"/>
      <c r="D21" s="19" t="n"/>
      <c r="E21" s="19" t="n"/>
      <c r="F21" s="21" t="n"/>
      <c r="G21" s="21" t="n"/>
      <c r="H21" s="21" t="n"/>
      <c r="I21" s="22" t="n"/>
      <c r="J21" s="21">
        <f>IFERROR(IF(AND(F21&lt;&gt;"",G21&lt;&gt;"",I21&lt;&gt;""),ABS(F21-G21)*I21,""),"")</f>
        <v/>
      </c>
      <c r="K21" s="23">
        <f>IFERROR(IF(AND(F21&lt;&gt;"",G21&lt;&gt;"",H21&lt;&gt;""),ABS(H21-F21)/ABS(F21-G21),""),"")</f>
        <v/>
      </c>
      <c r="L21" s="20" t="n"/>
      <c r="M21" s="21" t="n"/>
      <c r="N21" s="21" t="n"/>
      <c r="O21" s="24">
        <f>IFERROR(IF(AND(M21&lt;&gt;"",F21&lt;&gt;"",I21&lt;&gt;""),IF(D21="Long",(M21-F21)*I21-IF(N21&lt;&gt;"",N21,0),IF(D21="Short",(F21-M21)*I21-IF(N21&lt;&gt;"",N21,0),"")),""),"")</f>
        <v/>
      </c>
      <c r="P21" s="25">
        <f>IFERROR(IF(AND(O21&lt;&gt;"",F21&lt;&gt;"",I21&lt;&gt;""),O21/(F21*I21),""),"")</f>
        <v/>
      </c>
      <c r="Q21" s="26">
        <f>IFERROR(IF(AND(O21&lt;&gt;"",J21&lt;&gt;"",J21&lt;&gt;0),O21/J21,""),"")</f>
        <v/>
      </c>
      <c r="R21" s="27">
        <f>IFERROR(IF(AND(L21&lt;&gt;"",B21&lt;&gt;""),L21-B21,""),"")</f>
        <v/>
      </c>
      <c r="S21" s="19" t="n"/>
      <c r="T21" s="19" t="n"/>
      <c r="U21" s="17">
        <f>IF(O21&lt;&gt;"",20,"")</f>
        <v/>
      </c>
      <c r="V21" s="18">
        <f>IF(O21&lt;&gt;"",V20+O21,V20)</f>
        <v/>
      </c>
    </row>
    <row r="22">
      <c r="A22" s="8" t="n"/>
      <c r="B22" s="9" t="n"/>
      <c r="C22" s="8" t="n"/>
      <c r="D22" s="8" t="n"/>
      <c r="E22" s="8" t="n"/>
      <c r="F22" s="10" t="n"/>
      <c r="G22" s="10" t="n"/>
      <c r="H22" s="10" t="n"/>
      <c r="I22" s="11" t="n"/>
      <c r="J22" s="10">
        <f>IFERROR(IF(AND(F22&lt;&gt;"",G22&lt;&gt;"",I22&lt;&gt;""),ABS(F22-G22)*I22,""),"")</f>
        <v/>
      </c>
      <c r="K22" s="12">
        <f>IFERROR(IF(AND(F22&lt;&gt;"",G22&lt;&gt;"",H22&lt;&gt;""),ABS(H22-F22)/ABS(F22-G22),""),"")</f>
        <v/>
      </c>
      <c r="L22" s="9" t="n"/>
      <c r="M22" s="10" t="n"/>
      <c r="N22" s="10" t="n"/>
      <c r="O22" s="13">
        <f>IFERROR(IF(AND(M22&lt;&gt;"",F22&lt;&gt;"",I22&lt;&gt;""),IF(D22="Long",(M22-F22)*I22-IF(N22&lt;&gt;"",N22,0),IF(D22="Short",(F22-M22)*I22-IF(N22&lt;&gt;"",N22,0),"")),""),"")</f>
        <v/>
      </c>
      <c r="P22" s="14">
        <f>IFERROR(IF(AND(O22&lt;&gt;"",F22&lt;&gt;"",I22&lt;&gt;""),O22/(F22*I22),""),"")</f>
        <v/>
      </c>
      <c r="Q22" s="15">
        <f>IFERROR(IF(AND(O22&lt;&gt;"",J22&lt;&gt;"",J22&lt;&gt;0),O22/J22,""),"")</f>
        <v/>
      </c>
      <c r="R22" s="16">
        <f>IFERROR(IF(AND(L22&lt;&gt;"",B22&lt;&gt;""),L22-B22,""),"")</f>
        <v/>
      </c>
      <c r="S22" s="8" t="n"/>
      <c r="T22" s="8" t="n"/>
      <c r="U22" s="17">
        <f>IF(O22&lt;&gt;"",21,"")</f>
        <v/>
      </c>
      <c r="V22" s="18">
        <f>IF(O22&lt;&gt;"",V21+O22,V21)</f>
        <v/>
      </c>
    </row>
    <row r="23">
      <c r="A23" s="19" t="n"/>
      <c r="B23" s="20" t="n"/>
      <c r="C23" s="19" t="n"/>
      <c r="D23" s="19" t="n"/>
      <c r="E23" s="19" t="n"/>
      <c r="F23" s="21" t="n"/>
      <c r="G23" s="21" t="n"/>
      <c r="H23" s="21" t="n"/>
      <c r="I23" s="22" t="n"/>
      <c r="J23" s="21">
        <f>IFERROR(IF(AND(F23&lt;&gt;"",G23&lt;&gt;"",I23&lt;&gt;""),ABS(F23-G23)*I23,""),"")</f>
        <v/>
      </c>
      <c r="K23" s="23">
        <f>IFERROR(IF(AND(F23&lt;&gt;"",G23&lt;&gt;"",H23&lt;&gt;""),ABS(H23-F23)/ABS(F23-G23),""),"")</f>
        <v/>
      </c>
      <c r="L23" s="20" t="n"/>
      <c r="M23" s="21" t="n"/>
      <c r="N23" s="21" t="n"/>
      <c r="O23" s="24">
        <f>IFERROR(IF(AND(M23&lt;&gt;"",F23&lt;&gt;"",I23&lt;&gt;""),IF(D23="Long",(M23-F23)*I23-IF(N23&lt;&gt;"",N23,0),IF(D23="Short",(F23-M23)*I23-IF(N23&lt;&gt;"",N23,0),"")),""),"")</f>
        <v/>
      </c>
      <c r="P23" s="25">
        <f>IFERROR(IF(AND(O23&lt;&gt;"",F23&lt;&gt;"",I23&lt;&gt;""),O23/(F23*I23),""),"")</f>
        <v/>
      </c>
      <c r="Q23" s="26">
        <f>IFERROR(IF(AND(O23&lt;&gt;"",J23&lt;&gt;"",J23&lt;&gt;0),O23/J23,""),"")</f>
        <v/>
      </c>
      <c r="R23" s="27">
        <f>IFERROR(IF(AND(L23&lt;&gt;"",B23&lt;&gt;""),L23-B23,""),"")</f>
        <v/>
      </c>
      <c r="S23" s="19" t="n"/>
      <c r="T23" s="19" t="n"/>
      <c r="U23" s="17">
        <f>IF(O23&lt;&gt;"",22,"")</f>
        <v/>
      </c>
      <c r="V23" s="18">
        <f>IF(O23&lt;&gt;"",V22+O23,V22)</f>
        <v/>
      </c>
    </row>
    <row r="24">
      <c r="A24" s="8" t="n"/>
      <c r="B24" s="9" t="n"/>
      <c r="C24" s="8" t="n"/>
      <c r="D24" s="8" t="n"/>
      <c r="E24" s="8" t="n"/>
      <c r="F24" s="10" t="n"/>
      <c r="G24" s="10" t="n"/>
      <c r="H24" s="10" t="n"/>
      <c r="I24" s="11" t="n"/>
      <c r="J24" s="10">
        <f>IFERROR(IF(AND(F24&lt;&gt;"",G24&lt;&gt;"",I24&lt;&gt;""),ABS(F24-G24)*I24,""),"")</f>
        <v/>
      </c>
      <c r="K24" s="12">
        <f>IFERROR(IF(AND(F24&lt;&gt;"",G24&lt;&gt;"",H24&lt;&gt;""),ABS(H24-F24)/ABS(F24-G24),""),"")</f>
        <v/>
      </c>
      <c r="L24" s="9" t="n"/>
      <c r="M24" s="10" t="n"/>
      <c r="N24" s="10" t="n"/>
      <c r="O24" s="13">
        <f>IFERROR(IF(AND(M24&lt;&gt;"",F24&lt;&gt;"",I24&lt;&gt;""),IF(D24="Long",(M24-F24)*I24-IF(N24&lt;&gt;"",N24,0),IF(D24="Short",(F24-M24)*I24-IF(N24&lt;&gt;"",N24,0),"")),""),"")</f>
        <v/>
      </c>
      <c r="P24" s="14">
        <f>IFERROR(IF(AND(O24&lt;&gt;"",F24&lt;&gt;"",I24&lt;&gt;""),O24/(F24*I24),""),"")</f>
        <v/>
      </c>
      <c r="Q24" s="15">
        <f>IFERROR(IF(AND(O24&lt;&gt;"",J24&lt;&gt;"",J24&lt;&gt;0),O24/J24,""),"")</f>
        <v/>
      </c>
      <c r="R24" s="16">
        <f>IFERROR(IF(AND(L24&lt;&gt;"",B24&lt;&gt;""),L24-B24,""),"")</f>
        <v/>
      </c>
      <c r="S24" s="8" t="n"/>
      <c r="T24" s="8" t="n"/>
      <c r="U24" s="17">
        <f>IF(O24&lt;&gt;"",23,"")</f>
        <v/>
      </c>
      <c r="V24" s="18">
        <f>IF(O24&lt;&gt;"",V23+O24,V23)</f>
        <v/>
      </c>
    </row>
    <row r="25">
      <c r="A25" s="19" t="n"/>
      <c r="B25" s="20" t="n"/>
      <c r="C25" s="19" t="n"/>
      <c r="D25" s="19" t="n"/>
      <c r="E25" s="19" t="n"/>
      <c r="F25" s="21" t="n"/>
      <c r="G25" s="21" t="n"/>
      <c r="H25" s="21" t="n"/>
      <c r="I25" s="22" t="n"/>
      <c r="J25" s="21">
        <f>IFERROR(IF(AND(F25&lt;&gt;"",G25&lt;&gt;"",I25&lt;&gt;""),ABS(F25-G25)*I25,""),"")</f>
        <v/>
      </c>
      <c r="K25" s="23">
        <f>IFERROR(IF(AND(F25&lt;&gt;"",G25&lt;&gt;"",H25&lt;&gt;""),ABS(H25-F25)/ABS(F25-G25),""),"")</f>
        <v/>
      </c>
      <c r="L25" s="20" t="n"/>
      <c r="M25" s="21" t="n"/>
      <c r="N25" s="21" t="n"/>
      <c r="O25" s="24">
        <f>IFERROR(IF(AND(M25&lt;&gt;"",F25&lt;&gt;"",I25&lt;&gt;""),IF(D25="Long",(M25-F25)*I25-IF(N25&lt;&gt;"",N25,0),IF(D25="Short",(F25-M25)*I25-IF(N25&lt;&gt;"",N25,0),"")),""),"")</f>
        <v/>
      </c>
      <c r="P25" s="25">
        <f>IFERROR(IF(AND(O25&lt;&gt;"",F25&lt;&gt;"",I25&lt;&gt;""),O25/(F25*I25),""),"")</f>
        <v/>
      </c>
      <c r="Q25" s="26">
        <f>IFERROR(IF(AND(O25&lt;&gt;"",J25&lt;&gt;"",J25&lt;&gt;0),O25/J25,""),"")</f>
        <v/>
      </c>
      <c r="R25" s="27">
        <f>IFERROR(IF(AND(L25&lt;&gt;"",B25&lt;&gt;""),L25-B25,""),"")</f>
        <v/>
      </c>
      <c r="S25" s="19" t="n"/>
      <c r="T25" s="19" t="n"/>
      <c r="U25" s="17">
        <f>IF(O25&lt;&gt;"",24,"")</f>
        <v/>
      </c>
      <c r="V25" s="18">
        <f>IF(O25&lt;&gt;"",V24+O25,V24)</f>
        <v/>
      </c>
    </row>
    <row r="26">
      <c r="A26" s="8" t="n"/>
      <c r="B26" s="9" t="n"/>
      <c r="C26" s="8" t="n"/>
      <c r="D26" s="8" t="n"/>
      <c r="E26" s="8" t="n"/>
      <c r="F26" s="10" t="n"/>
      <c r="G26" s="10" t="n"/>
      <c r="H26" s="10" t="n"/>
      <c r="I26" s="11" t="n"/>
      <c r="J26" s="10">
        <f>IFERROR(IF(AND(F26&lt;&gt;"",G26&lt;&gt;"",I26&lt;&gt;""),ABS(F26-G26)*I26,""),"")</f>
        <v/>
      </c>
      <c r="K26" s="12">
        <f>IFERROR(IF(AND(F26&lt;&gt;"",G26&lt;&gt;"",H26&lt;&gt;""),ABS(H26-F26)/ABS(F26-G26),""),"")</f>
        <v/>
      </c>
      <c r="L26" s="9" t="n"/>
      <c r="M26" s="10" t="n"/>
      <c r="N26" s="10" t="n"/>
      <c r="O26" s="13">
        <f>IFERROR(IF(AND(M26&lt;&gt;"",F26&lt;&gt;"",I26&lt;&gt;""),IF(D26="Long",(M26-F26)*I26-IF(N26&lt;&gt;"",N26,0),IF(D26="Short",(F26-M26)*I26-IF(N26&lt;&gt;"",N26,0),"")),""),"")</f>
        <v/>
      </c>
      <c r="P26" s="14">
        <f>IFERROR(IF(AND(O26&lt;&gt;"",F26&lt;&gt;"",I26&lt;&gt;""),O26/(F26*I26),""),"")</f>
        <v/>
      </c>
      <c r="Q26" s="15">
        <f>IFERROR(IF(AND(O26&lt;&gt;"",J26&lt;&gt;"",J26&lt;&gt;0),O26/J26,""),"")</f>
        <v/>
      </c>
      <c r="R26" s="16">
        <f>IFERROR(IF(AND(L26&lt;&gt;"",B26&lt;&gt;""),L26-B26,""),"")</f>
        <v/>
      </c>
      <c r="S26" s="8" t="n"/>
      <c r="T26" s="8" t="n"/>
      <c r="U26" s="17">
        <f>IF(O26&lt;&gt;"",25,"")</f>
        <v/>
      </c>
      <c r="V26" s="18">
        <f>IF(O26&lt;&gt;"",V25+O26,V25)</f>
        <v/>
      </c>
    </row>
    <row r="27">
      <c r="A27" s="19" t="n"/>
      <c r="B27" s="20" t="n"/>
      <c r="C27" s="19" t="n"/>
      <c r="D27" s="19" t="n"/>
      <c r="E27" s="19" t="n"/>
      <c r="F27" s="21" t="n"/>
      <c r="G27" s="21" t="n"/>
      <c r="H27" s="21" t="n"/>
      <c r="I27" s="22" t="n"/>
      <c r="J27" s="21">
        <f>IFERROR(IF(AND(F27&lt;&gt;"",G27&lt;&gt;"",I27&lt;&gt;""),ABS(F27-G27)*I27,""),"")</f>
        <v/>
      </c>
      <c r="K27" s="23">
        <f>IFERROR(IF(AND(F27&lt;&gt;"",G27&lt;&gt;"",H27&lt;&gt;""),ABS(H27-F27)/ABS(F27-G27),""),"")</f>
        <v/>
      </c>
      <c r="L27" s="20" t="n"/>
      <c r="M27" s="21" t="n"/>
      <c r="N27" s="21" t="n"/>
      <c r="O27" s="24">
        <f>IFERROR(IF(AND(M27&lt;&gt;"",F27&lt;&gt;"",I27&lt;&gt;""),IF(D27="Long",(M27-F27)*I27-IF(N27&lt;&gt;"",N27,0),IF(D27="Short",(F27-M27)*I27-IF(N27&lt;&gt;"",N27,0),"")),""),"")</f>
        <v/>
      </c>
      <c r="P27" s="25">
        <f>IFERROR(IF(AND(O27&lt;&gt;"",F27&lt;&gt;"",I27&lt;&gt;""),O27/(F27*I27),""),"")</f>
        <v/>
      </c>
      <c r="Q27" s="26">
        <f>IFERROR(IF(AND(O27&lt;&gt;"",J27&lt;&gt;"",J27&lt;&gt;0),O27/J27,""),"")</f>
        <v/>
      </c>
      <c r="R27" s="27">
        <f>IFERROR(IF(AND(L27&lt;&gt;"",B27&lt;&gt;""),L27-B27,""),"")</f>
        <v/>
      </c>
      <c r="S27" s="19" t="n"/>
      <c r="T27" s="19" t="n"/>
      <c r="U27" s="17">
        <f>IF(O27&lt;&gt;"",26,"")</f>
        <v/>
      </c>
      <c r="V27" s="18">
        <f>IF(O27&lt;&gt;"",V26+O27,V26)</f>
        <v/>
      </c>
    </row>
    <row r="28">
      <c r="A28" s="8" t="n"/>
      <c r="B28" s="9" t="n"/>
      <c r="C28" s="8" t="n"/>
      <c r="D28" s="8" t="n"/>
      <c r="E28" s="8" t="n"/>
      <c r="F28" s="10" t="n"/>
      <c r="G28" s="10" t="n"/>
      <c r="H28" s="10" t="n"/>
      <c r="I28" s="11" t="n"/>
      <c r="J28" s="10">
        <f>IFERROR(IF(AND(F28&lt;&gt;"",G28&lt;&gt;"",I28&lt;&gt;""),ABS(F28-G28)*I28,""),"")</f>
        <v/>
      </c>
      <c r="K28" s="12">
        <f>IFERROR(IF(AND(F28&lt;&gt;"",G28&lt;&gt;"",H28&lt;&gt;""),ABS(H28-F28)/ABS(F28-G28),""),"")</f>
        <v/>
      </c>
      <c r="L28" s="9" t="n"/>
      <c r="M28" s="10" t="n"/>
      <c r="N28" s="10" t="n"/>
      <c r="O28" s="13">
        <f>IFERROR(IF(AND(M28&lt;&gt;"",F28&lt;&gt;"",I28&lt;&gt;""),IF(D28="Long",(M28-F28)*I28-IF(N28&lt;&gt;"",N28,0),IF(D28="Short",(F28-M28)*I28-IF(N28&lt;&gt;"",N28,0),"")),""),"")</f>
        <v/>
      </c>
      <c r="P28" s="14">
        <f>IFERROR(IF(AND(O28&lt;&gt;"",F28&lt;&gt;"",I28&lt;&gt;""),O28/(F28*I28),""),"")</f>
        <v/>
      </c>
      <c r="Q28" s="15">
        <f>IFERROR(IF(AND(O28&lt;&gt;"",J28&lt;&gt;"",J28&lt;&gt;0),O28/J28,""),"")</f>
        <v/>
      </c>
      <c r="R28" s="16">
        <f>IFERROR(IF(AND(L28&lt;&gt;"",B28&lt;&gt;""),L28-B28,""),"")</f>
        <v/>
      </c>
      <c r="S28" s="8" t="n"/>
      <c r="T28" s="8" t="n"/>
      <c r="U28" s="17">
        <f>IF(O28&lt;&gt;"",27,"")</f>
        <v/>
      </c>
      <c r="V28" s="18">
        <f>IF(O28&lt;&gt;"",V27+O28,V27)</f>
        <v/>
      </c>
    </row>
    <row r="29">
      <c r="A29" s="19" t="n"/>
      <c r="B29" s="20" t="n"/>
      <c r="C29" s="19" t="n"/>
      <c r="D29" s="19" t="n"/>
      <c r="E29" s="19" t="n"/>
      <c r="F29" s="21" t="n"/>
      <c r="G29" s="21" t="n"/>
      <c r="H29" s="21" t="n"/>
      <c r="I29" s="22" t="n"/>
      <c r="J29" s="21">
        <f>IFERROR(IF(AND(F29&lt;&gt;"",G29&lt;&gt;"",I29&lt;&gt;""),ABS(F29-G29)*I29,""),"")</f>
        <v/>
      </c>
      <c r="K29" s="23">
        <f>IFERROR(IF(AND(F29&lt;&gt;"",G29&lt;&gt;"",H29&lt;&gt;""),ABS(H29-F29)/ABS(F29-G29),""),"")</f>
        <v/>
      </c>
      <c r="L29" s="20" t="n"/>
      <c r="M29" s="21" t="n"/>
      <c r="N29" s="21" t="n"/>
      <c r="O29" s="24">
        <f>IFERROR(IF(AND(M29&lt;&gt;"",F29&lt;&gt;"",I29&lt;&gt;""),IF(D29="Long",(M29-F29)*I29-IF(N29&lt;&gt;"",N29,0),IF(D29="Short",(F29-M29)*I29-IF(N29&lt;&gt;"",N29,0),"")),""),"")</f>
        <v/>
      </c>
      <c r="P29" s="25">
        <f>IFERROR(IF(AND(O29&lt;&gt;"",F29&lt;&gt;"",I29&lt;&gt;""),O29/(F29*I29),""),"")</f>
        <v/>
      </c>
      <c r="Q29" s="26">
        <f>IFERROR(IF(AND(O29&lt;&gt;"",J29&lt;&gt;"",J29&lt;&gt;0),O29/J29,""),"")</f>
        <v/>
      </c>
      <c r="R29" s="27">
        <f>IFERROR(IF(AND(L29&lt;&gt;"",B29&lt;&gt;""),L29-B29,""),"")</f>
        <v/>
      </c>
      <c r="S29" s="19" t="n"/>
      <c r="T29" s="19" t="n"/>
      <c r="U29" s="17">
        <f>IF(O29&lt;&gt;"",28,"")</f>
        <v/>
      </c>
      <c r="V29" s="18">
        <f>IF(O29&lt;&gt;"",V28+O29,V28)</f>
        <v/>
      </c>
    </row>
    <row r="30">
      <c r="A30" s="8" t="n"/>
      <c r="B30" s="9" t="n"/>
      <c r="C30" s="8" t="n"/>
      <c r="D30" s="8" t="n"/>
      <c r="E30" s="8" t="n"/>
      <c r="F30" s="10" t="n"/>
      <c r="G30" s="10" t="n"/>
      <c r="H30" s="10" t="n"/>
      <c r="I30" s="11" t="n"/>
      <c r="J30" s="10">
        <f>IFERROR(IF(AND(F30&lt;&gt;"",G30&lt;&gt;"",I30&lt;&gt;""),ABS(F30-G30)*I30,""),"")</f>
        <v/>
      </c>
      <c r="K30" s="12">
        <f>IFERROR(IF(AND(F30&lt;&gt;"",G30&lt;&gt;"",H30&lt;&gt;""),ABS(H30-F30)/ABS(F30-G30),""),"")</f>
        <v/>
      </c>
      <c r="L30" s="9" t="n"/>
      <c r="M30" s="10" t="n"/>
      <c r="N30" s="10" t="n"/>
      <c r="O30" s="13">
        <f>IFERROR(IF(AND(M30&lt;&gt;"",F30&lt;&gt;"",I30&lt;&gt;""),IF(D30="Long",(M30-F30)*I30-IF(N30&lt;&gt;"",N30,0),IF(D30="Short",(F30-M30)*I30-IF(N30&lt;&gt;"",N30,0),"")),""),"")</f>
        <v/>
      </c>
      <c r="P30" s="14">
        <f>IFERROR(IF(AND(O30&lt;&gt;"",F30&lt;&gt;"",I30&lt;&gt;""),O30/(F30*I30),""),"")</f>
        <v/>
      </c>
      <c r="Q30" s="15">
        <f>IFERROR(IF(AND(O30&lt;&gt;"",J30&lt;&gt;"",J30&lt;&gt;0),O30/J30,""),"")</f>
        <v/>
      </c>
      <c r="R30" s="16">
        <f>IFERROR(IF(AND(L30&lt;&gt;"",B30&lt;&gt;""),L30-B30,""),"")</f>
        <v/>
      </c>
      <c r="S30" s="8" t="n"/>
      <c r="T30" s="8" t="n"/>
      <c r="U30" s="17">
        <f>IF(O30&lt;&gt;"",29,"")</f>
        <v/>
      </c>
      <c r="V30" s="18">
        <f>IF(O30&lt;&gt;"",V29+O30,V29)</f>
        <v/>
      </c>
    </row>
    <row r="31">
      <c r="A31" s="19" t="n"/>
      <c r="B31" s="20" t="n"/>
      <c r="C31" s="19" t="n"/>
      <c r="D31" s="19" t="n"/>
      <c r="E31" s="19" t="n"/>
      <c r="F31" s="21" t="n"/>
      <c r="G31" s="21" t="n"/>
      <c r="H31" s="21" t="n"/>
      <c r="I31" s="22" t="n"/>
      <c r="J31" s="21">
        <f>IFERROR(IF(AND(F31&lt;&gt;"",G31&lt;&gt;"",I31&lt;&gt;""),ABS(F31-G31)*I31,""),"")</f>
        <v/>
      </c>
      <c r="K31" s="23">
        <f>IFERROR(IF(AND(F31&lt;&gt;"",G31&lt;&gt;"",H31&lt;&gt;""),ABS(H31-F31)/ABS(F31-G31),""),"")</f>
        <v/>
      </c>
      <c r="L31" s="20" t="n"/>
      <c r="M31" s="21" t="n"/>
      <c r="N31" s="21" t="n"/>
      <c r="O31" s="24">
        <f>IFERROR(IF(AND(M31&lt;&gt;"",F31&lt;&gt;"",I31&lt;&gt;""),IF(D31="Long",(M31-F31)*I31-IF(N31&lt;&gt;"",N31,0),IF(D31="Short",(F31-M31)*I31-IF(N31&lt;&gt;"",N31,0),"")),""),"")</f>
        <v/>
      </c>
      <c r="P31" s="25">
        <f>IFERROR(IF(AND(O31&lt;&gt;"",F31&lt;&gt;"",I31&lt;&gt;""),O31/(F31*I31),""),"")</f>
        <v/>
      </c>
      <c r="Q31" s="26">
        <f>IFERROR(IF(AND(O31&lt;&gt;"",J31&lt;&gt;"",J31&lt;&gt;0),O31/J31,""),"")</f>
        <v/>
      </c>
      <c r="R31" s="27">
        <f>IFERROR(IF(AND(L31&lt;&gt;"",B31&lt;&gt;""),L31-B31,""),"")</f>
        <v/>
      </c>
      <c r="S31" s="19" t="n"/>
      <c r="T31" s="19" t="n"/>
      <c r="U31" s="17">
        <f>IF(O31&lt;&gt;"",30,"")</f>
        <v/>
      </c>
      <c r="V31" s="18">
        <f>IF(O31&lt;&gt;"",V30+O31,V30)</f>
        <v/>
      </c>
    </row>
    <row r="32">
      <c r="A32" s="8" t="n"/>
      <c r="B32" s="9" t="n"/>
      <c r="C32" s="8" t="n"/>
      <c r="D32" s="8" t="n"/>
      <c r="E32" s="8" t="n"/>
      <c r="F32" s="10" t="n"/>
      <c r="G32" s="10" t="n"/>
      <c r="H32" s="10" t="n"/>
      <c r="I32" s="11" t="n"/>
      <c r="J32" s="10">
        <f>IFERROR(IF(AND(F32&lt;&gt;"",G32&lt;&gt;"",I32&lt;&gt;""),ABS(F32-G32)*I32,""),"")</f>
        <v/>
      </c>
      <c r="K32" s="12">
        <f>IFERROR(IF(AND(F32&lt;&gt;"",G32&lt;&gt;"",H32&lt;&gt;""),ABS(H32-F32)/ABS(F32-G32),""),"")</f>
        <v/>
      </c>
      <c r="L32" s="9" t="n"/>
      <c r="M32" s="10" t="n"/>
      <c r="N32" s="10" t="n"/>
      <c r="O32" s="13">
        <f>IFERROR(IF(AND(M32&lt;&gt;"",F32&lt;&gt;"",I32&lt;&gt;""),IF(D32="Long",(M32-F32)*I32-IF(N32&lt;&gt;"",N32,0),IF(D32="Short",(F32-M32)*I32-IF(N32&lt;&gt;"",N32,0),"")),""),"")</f>
        <v/>
      </c>
      <c r="P32" s="14">
        <f>IFERROR(IF(AND(O32&lt;&gt;"",F32&lt;&gt;"",I32&lt;&gt;""),O32/(F32*I32),""),"")</f>
        <v/>
      </c>
      <c r="Q32" s="15">
        <f>IFERROR(IF(AND(O32&lt;&gt;"",J32&lt;&gt;"",J32&lt;&gt;0),O32/J32,""),"")</f>
        <v/>
      </c>
      <c r="R32" s="16">
        <f>IFERROR(IF(AND(L32&lt;&gt;"",B32&lt;&gt;""),L32-B32,""),"")</f>
        <v/>
      </c>
      <c r="S32" s="8" t="n"/>
      <c r="T32" s="8" t="n"/>
      <c r="U32" s="17">
        <f>IF(O32&lt;&gt;"",31,"")</f>
        <v/>
      </c>
      <c r="V32" s="18">
        <f>IF(O32&lt;&gt;"",V31+O32,V31)</f>
        <v/>
      </c>
    </row>
    <row r="33">
      <c r="A33" s="19" t="n"/>
      <c r="B33" s="20" t="n"/>
      <c r="C33" s="19" t="n"/>
      <c r="D33" s="19" t="n"/>
      <c r="E33" s="19" t="n"/>
      <c r="F33" s="21" t="n"/>
      <c r="G33" s="21" t="n"/>
      <c r="H33" s="21" t="n"/>
      <c r="I33" s="22" t="n"/>
      <c r="J33" s="21">
        <f>IFERROR(IF(AND(F33&lt;&gt;"",G33&lt;&gt;"",I33&lt;&gt;""),ABS(F33-G33)*I33,""),"")</f>
        <v/>
      </c>
      <c r="K33" s="23">
        <f>IFERROR(IF(AND(F33&lt;&gt;"",G33&lt;&gt;"",H33&lt;&gt;""),ABS(H33-F33)/ABS(F33-G33),""),"")</f>
        <v/>
      </c>
      <c r="L33" s="20" t="n"/>
      <c r="M33" s="21" t="n"/>
      <c r="N33" s="21" t="n"/>
      <c r="O33" s="24">
        <f>IFERROR(IF(AND(M33&lt;&gt;"",F33&lt;&gt;"",I33&lt;&gt;""),IF(D33="Long",(M33-F33)*I33-IF(N33&lt;&gt;"",N33,0),IF(D33="Short",(F33-M33)*I33-IF(N33&lt;&gt;"",N33,0),"")),""),"")</f>
        <v/>
      </c>
      <c r="P33" s="25">
        <f>IFERROR(IF(AND(O33&lt;&gt;"",F33&lt;&gt;"",I33&lt;&gt;""),O33/(F33*I33),""),"")</f>
        <v/>
      </c>
      <c r="Q33" s="26">
        <f>IFERROR(IF(AND(O33&lt;&gt;"",J33&lt;&gt;"",J33&lt;&gt;0),O33/J33,""),"")</f>
        <v/>
      </c>
      <c r="R33" s="27">
        <f>IFERROR(IF(AND(L33&lt;&gt;"",B33&lt;&gt;""),L33-B33,""),"")</f>
        <v/>
      </c>
      <c r="S33" s="19" t="n"/>
      <c r="T33" s="19" t="n"/>
      <c r="U33" s="17">
        <f>IF(O33&lt;&gt;"",32,"")</f>
        <v/>
      </c>
      <c r="V33" s="18">
        <f>IF(O33&lt;&gt;"",V32+O33,V32)</f>
        <v/>
      </c>
    </row>
    <row r="34">
      <c r="A34" s="8" t="n"/>
      <c r="B34" s="9" t="n"/>
      <c r="C34" s="8" t="n"/>
      <c r="D34" s="8" t="n"/>
      <c r="E34" s="8" t="n"/>
      <c r="F34" s="10" t="n"/>
      <c r="G34" s="10" t="n"/>
      <c r="H34" s="10" t="n"/>
      <c r="I34" s="11" t="n"/>
      <c r="J34" s="10">
        <f>IFERROR(IF(AND(F34&lt;&gt;"",G34&lt;&gt;"",I34&lt;&gt;""),ABS(F34-G34)*I34,""),"")</f>
        <v/>
      </c>
      <c r="K34" s="12">
        <f>IFERROR(IF(AND(F34&lt;&gt;"",G34&lt;&gt;"",H34&lt;&gt;""),ABS(H34-F34)/ABS(F34-G34),""),"")</f>
        <v/>
      </c>
      <c r="L34" s="9" t="n"/>
      <c r="M34" s="10" t="n"/>
      <c r="N34" s="10" t="n"/>
      <c r="O34" s="13">
        <f>IFERROR(IF(AND(M34&lt;&gt;"",F34&lt;&gt;"",I34&lt;&gt;""),IF(D34="Long",(M34-F34)*I34-IF(N34&lt;&gt;"",N34,0),IF(D34="Short",(F34-M34)*I34-IF(N34&lt;&gt;"",N34,0),"")),""),"")</f>
        <v/>
      </c>
      <c r="P34" s="14">
        <f>IFERROR(IF(AND(O34&lt;&gt;"",F34&lt;&gt;"",I34&lt;&gt;""),O34/(F34*I34),""),"")</f>
        <v/>
      </c>
      <c r="Q34" s="15">
        <f>IFERROR(IF(AND(O34&lt;&gt;"",J34&lt;&gt;"",J34&lt;&gt;0),O34/J34,""),"")</f>
        <v/>
      </c>
      <c r="R34" s="16">
        <f>IFERROR(IF(AND(L34&lt;&gt;"",B34&lt;&gt;""),L34-B34,""),"")</f>
        <v/>
      </c>
      <c r="S34" s="8" t="n"/>
      <c r="T34" s="8" t="n"/>
      <c r="U34" s="17">
        <f>IF(O34&lt;&gt;"",33,"")</f>
        <v/>
      </c>
      <c r="V34" s="18">
        <f>IF(O34&lt;&gt;"",V33+O34,V33)</f>
        <v/>
      </c>
    </row>
    <row r="35">
      <c r="A35" s="19" t="n"/>
      <c r="B35" s="20" t="n"/>
      <c r="C35" s="19" t="n"/>
      <c r="D35" s="19" t="n"/>
      <c r="E35" s="19" t="n"/>
      <c r="F35" s="21" t="n"/>
      <c r="G35" s="21" t="n"/>
      <c r="H35" s="21" t="n"/>
      <c r="I35" s="22" t="n"/>
      <c r="J35" s="21">
        <f>IFERROR(IF(AND(F35&lt;&gt;"",G35&lt;&gt;"",I35&lt;&gt;""),ABS(F35-G35)*I35,""),"")</f>
        <v/>
      </c>
      <c r="K35" s="23">
        <f>IFERROR(IF(AND(F35&lt;&gt;"",G35&lt;&gt;"",H35&lt;&gt;""),ABS(H35-F35)/ABS(F35-G35),""),"")</f>
        <v/>
      </c>
      <c r="L35" s="20" t="n"/>
      <c r="M35" s="21" t="n"/>
      <c r="N35" s="21" t="n"/>
      <c r="O35" s="24">
        <f>IFERROR(IF(AND(M35&lt;&gt;"",F35&lt;&gt;"",I35&lt;&gt;""),IF(D35="Long",(M35-F35)*I35-IF(N35&lt;&gt;"",N35,0),IF(D35="Short",(F35-M35)*I35-IF(N35&lt;&gt;"",N35,0),"")),""),"")</f>
        <v/>
      </c>
      <c r="P35" s="25">
        <f>IFERROR(IF(AND(O35&lt;&gt;"",F35&lt;&gt;"",I35&lt;&gt;""),O35/(F35*I35),""),"")</f>
        <v/>
      </c>
      <c r="Q35" s="26">
        <f>IFERROR(IF(AND(O35&lt;&gt;"",J35&lt;&gt;"",J35&lt;&gt;0),O35/J35,""),"")</f>
        <v/>
      </c>
      <c r="R35" s="27">
        <f>IFERROR(IF(AND(L35&lt;&gt;"",B35&lt;&gt;""),L35-B35,""),"")</f>
        <v/>
      </c>
      <c r="S35" s="19" t="n"/>
      <c r="T35" s="19" t="n"/>
      <c r="U35" s="17">
        <f>IF(O35&lt;&gt;"",34,"")</f>
        <v/>
      </c>
      <c r="V35" s="18">
        <f>IF(O35&lt;&gt;"",V34+O35,V34)</f>
        <v/>
      </c>
    </row>
    <row r="36">
      <c r="A36" s="8" t="n"/>
      <c r="B36" s="9" t="n"/>
      <c r="C36" s="8" t="n"/>
      <c r="D36" s="8" t="n"/>
      <c r="E36" s="8" t="n"/>
      <c r="F36" s="10" t="n"/>
      <c r="G36" s="10" t="n"/>
      <c r="H36" s="10" t="n"/>
      <c r="I36" s="11" t="n"/>
      <c r="J36" s="10">
        <f>IFERROR(IF(AND(F36&lt;&gt;"",G36&lt;&gt;"",I36&lt;&gt;""),ABS(F36-G36)*I36,""),"")</f>
        <v/>
      </c>
      <c r="K36" s="12">
        <f>IFERROR(IF(AND(F36&lt;&gt;"",G36&lt;&gt;"",H36&lt;&gt;""),ABS(H36-F36)/ABS(F36-G36),""),"")</f>
        <v/>
      </c>
      <c r="L36" s="9" t="n"/>
      <c r="M36" s="10" t="n"/>
      <c r="N36" s="10" t="n"/>
      <c r="O36" s="13">
        <f>IFERROR(IF(AND(M36&lt;&gt;"",F36&lt;&gt;"",I36&lt;&gt;""),IF(D36="Long",(M36-F36)*I36-IF(N36&lt;&gt;"",N36,0),IF(D36="Short",(F36-M36)*I36-IF(N36&lt;&gt;"",N36,0),"")),""),"")</f>
        <v/>
      </c>
      <c r="P36" s="14">
        <f>IFERROR(IF(AND(O36&lt;&gt;"",F36&lt;&gt;"",I36&lt;&gt;""),O36/(F36*I36),""),"")</f>
        <v/>
      </c>
      <c r="Q36" s="15">
        <f>IFERROR(IF(AND(O36&lt;&gt;"",J36&lt;&gt;"",J36&lt;&gt;0),O36/J36,""),"")</f>
        <v/>
      </c>
      <c r="R36" s="16">
        <f>IFERROR(IF(AND(L36&lt;&gt;"",B36&lt;&gt;""),L36-B36,""),"")</f>
        <v/>
      </c>
      <c r="S36" s="8" t="n"/>
      <c r="T36" s="8" t="n"/>
      <c r="U36" s="17">
        <f>IF(O36&lt;&gt;"",35,"")</f>
        <v/>
      </c>
      <c r="V36" s="18">
        <f>IF(O36&lt;&gt;"",V35+O36,V35)</f>
        <v/>
      </c>
    </row>
    <row r="37">
      <c r="A37" s="19" t="n"/>
      <c r="B37" s="20" t="n"/>
      <c r="C37" s="19" t="n"/>
      <c r="D37" s="19" t="n"/>
      <c r="E37" s="19" t="n"/>
      <c r="F37" s="21" t="n"/>
      <c r="G37" s="21" t="n"/>
      <c r="H37" s="21" t="n"/>
      <c r="I37" s="22" t="n"/>
      <c r="J37" s="21">
        <f>IFERROR(IF(AND(F37&lt;&gt;"",G37&lt;&gt;"",I37&lt;&gt;""),ABS(F37-G37)*I37,""),"")</f>
        <v/>
      </c>
      <c r="K37" s="23">
        <f>IFERROR(IF(AND(F37&lt;&gt;"",G37&lt;&gt;"",H37&lt;&gt;""),ABS(H37-F37)/ABS(F37-G37),""),"")</f>
        <v/>
      </c>
      <c r="L37" s="20" t="n"/>
      <c r="M37" s="21" t="n"/>
      <c r="N37" s="21" t="n"/>
      <c r="O37" s="24">
        <f>IFERROR(IF(AND(M37&lt;&gt;"",F37&lt;&gt;"",I37&lt;&gt;""),IF(D37="Long",(M37-F37)*I37-IF(N37&lt;&gt;"",N37,0),IF(D37="Short",(F37-M37)*I37-IF(N37&lt;&gt;"",N37,0),"")),""),"")</f>
        <v/>
      </c>
      <c r="P37" s="25">
        <f>IFERROR(IF(AND(O37&lt;&gt;"",F37&lt;&gt;"",I37&lt;&gt;""),O37/(F37*I37),""),"")</f>
        <v/>
      </c>
      <c r="Q37" s="26">
        <f>IFERROR(IF(AND(O37&lt;&gt;"",J37&lt;&gt;"",J37&lt;&gt;0),O37/J37,""),"")</f>
        <v/>
      </c>
      <c r="R37" s="27">
        <f>IFERROR(IF(AND(L37&lt;&gt;"",B37&lt;&gt;""),L37-B37,""),"")</f>
        <v/>
      </c>
      <c r="S37" s="19" t="n"/>
      <c r="T37" s="19" t="n"/>
      <c r="U37" s="17">
        <f>IF(O37&lt;&gt;"",36,"")</f>
        <v/>
      </c>
      <c r="V37" s="18">
        <f>IF(O37&lt;&gt;"",V36+O37,V36)</f>
        <v/>
      </c>
    </row>
    <row r="38">
      <c r="A38" s="8" t="n"/>
      <c r="B38" s="9" t="n"/>
      <c r="C38" s="8" t="n"/>
      <c r="D38" s="8" t="n"/>
      <c r="E38" s="8" t="n"/>
      <c r="F38" s="10" t="n"/>
      <c r="G38" s="10" t="n"/>
      <c r="H38" s="10" t="n"/>
      <c r="I38" s="11" t="n"/>
      <c r="J38" s="10">
        <f>IFERROR(IF(AND(F38&lt;&gt;"",G38&lt;&gt;"",I38&lt;&gt;""),ABS(F38-G38)*I38,""),"")</f>
        <v/>
      </c>
      <c r="K38" s="12">
        <f>IFERROR(IF(AND(F38&lt;&gt;"",G38&lt;&gt;"",H38&lt;&gt;""),ABS(H38-F38)/ABS(F38-G38),""),"")</f>
        <v/>
      </c>
      <c r="L38" s="9" t="n"/>
      <c r="M38" s="10" t="n"/>
      <c r="N38" s="10" t="n"/>
      <c r="O38" s="13">
        <f>IFERROR(IF(AND(M38&lt;&gt;"",F38&lt;&gt;"",I38&lt;&gt;""),IF(D38="Long",(M38-F38)*I38-IF(N38&lt;&gt;"",N38,0),IF(D38="Short",(F38-M38)*I38-IF(N38&lt;&gt;"",N38,0),"")),""),"")</f>
        <v/>
      </c>
      <c r="P38" s="14">
        <f>IFERROR(IF(AND(O38&lt;&gt;"",F38&lt;&gt;"",I38&lt;&gt;""),O38/(F38*I38),""),"")</f>
        <v/>
      </c>
      <c r="Q38" s="15">
        <f>IFERROR(IF(AND(O38&lt;&gt;"",J38&lt;&gt;"",J38&lt;&gt;0),O38/J38,""),"")</f>
        <v/>
      </c>
      <c r="R38" s="16">
        <f>IFERROR(IF(AND(L38&lt;&gt;"",B38&lt;&gt;""),L38-B38,""),"")</f>
        <v/>
      </c>
      <c r="S38" s="8" t="n"/>
      <c r="T38" s="8" t="n"/>
      <c r="U38" s="17">
        <f>IF(O38&lt;&gt;"",37,"")</f>
        <v/>
      </c>
      <c r="V38" s="18">
        <f>IF(O38&lt;&gt;"",V37+O38,V37)</f>
        <v/>
      </c>
    </row>
    <row r="39">
      <c r="A39" s="19" t="n"/>
      <c r="B39" s="20" t="n"/>
      <c r="C39" s="19" t="n"/>
      <c r="D39" s="19" t="n"/>
      <c r="E39" s="19" t="n"/>
      <c r="F39" s="21" t="n"/>
      <c r="G39" s="21" t="n"/>
      <c r="H39" s="21" t="n"/>
      <c r="I39" s="22" t="n"/>
      <c r="J39" s="21">
        <f>IFERROR(IF(AND(F39&lt;&gt;"",G39&lt;&gt;"",I39&lt;&gt;""),ABS(F39-G39)*I39,""),"")</f>
        <v/>
      </c>
      <c r="K39" s="23">
        <f>IFERROR(IF(AND(F39&lt;&gt;"",G39&lt;&gt;"",H39&lt;&gt;""),ABS(H39-F39)/ABS(F39-G39),""),"")</f>
        <v/>
      </c>
      <c r="L39" s="20" t="n"/>
      <c r="M39" s="21" t="n"/>
      <c r="N39" s="21" t="n"/>
      <c r="O39" s="24">
        <f>IFERROR(IF(AND(M39&lt;&gt;"",F39&lt;&gt;"",I39&lt;&gt;""),IF(D39="Long",(M39-F39)*I39-IF(N39&lt;&gt;"",N39,0),IF(D39="Short",(F39-M39)*I39-IF(N39&lt;&gt;"",N39,0),"")),""),"")</f>
        <v/>
      </c>
      <c r="P39" s="25">
        <f>IFERROR(IF(AND(O39&lt;&gt;"",F39&lt;&gt;"",I39&lt;&gt;""),O39/(F39*I39),""),"")</f>
        <v/>
      </c>
      <c r="Q39" s="26">
        <f>IFERROR(IF(AND(O39&lt;&gt;"",J39&lt;&gt;"",J39&lt;&gt;0),O39/J39,""),"")</f>
        <v/>
      </c>
      <c r="R39" s="27">
        <f>IFERROR(IF(AND(L39&lt;&gt;"",B39&lt;&gt;""),L39-B39,""),"")</f>
        <v/>
      </c>
      <c r="S39" s="19" t="n"/>
      <c r="T39" s="19" t="n"/>
      <c r="U39" s="17">
        <f>IF(O39&lt;&gt;"",38,"")</f>
        <v/>
      </c>
      <c r="V39" s="18">
        <f>IF(O39&lt;&gt;"",V38+O39,V38)</f>
        <v/>
      </c>
    </row>
    <row r="40">
      <c r="A40" s="8" t="n"/>
      <c r="B40" s="9" t="n"/>
      <c r="C40" s="8" t="n"/>
      <c r="D40" s="8" t="n"/>
      <c r="E40" s="8" t="n"/>
      <c r="F40" s="10" t="n"/>
      <c r="G40" s="10" t="n"/>
      <c r="H40" s="10" t="n"/>
      <c r="I40" s="11" t="n"/>
      <c r="J40" s="10">
        <f>IFERROR(IF(AND(F40&lt;&gt;"",G40&lt;&gt;"",I40&lt;&gt;""),ABS(F40-G40)*I40,""),"")</f>
        <v/>
      </c>
      <c r="K40" s="12">
        <f>IFERROR(IF(AND(F40&lt;&gt;"",G40&lt;&gt;"",H40&lt;&gt;""),ABS(H40-F40)/ABS(F40-G40),""),"")</f>
        <v/>
      </c>
      <c r="L40" s="9" t="n"/>
      <c r="M40" s="10" t="n"/>
      <c r="N40" s="10" t="n"/>
      <c r="O40" s="13">
        <f>IFERROR(IF(AND(M40&lt;&gt;"",F40&lt;&gt;"",I40&lt;&gt;""),IF(D40="Long",(M40-F40)*I40-IF(N40&lt;&gt;"",N40,0),IF(D40="Short",(F40-M40)*I40-IF(N40&lt;&gt;"",N40,0),"")),""),"")</f>
        <v/>
      </c>
      <c r="P40" s="14">
        <f>IFERROR(IF(AND(O40&lt;&gt;"",F40&lt;&gt;"",I40&lt;&gt;""),O40/(F40*I40),""),"")</f>
        <v/>
      </c>
      <c r="Q40" s="15">
        <f>IFERROR(IF(AND(O40&lt;&gt;"",J40&lt;&gt;"",J40&lt;&gt;0),O40/J40,""),"")</f>
        <v/>
      </c>
      <c r="R40" s="16">
        <f>IFERROR(IF(AND(L40&lt;&gt;"",B40&lt;&gt;""),L40-B40,""),"")</f>
        <v/>
      </c>
      <c r="S40" s="8" t="n"/>
      <c r="T40" s="8" t="n"/>
      <c r="U40" s="17">
        <f>IF(O40&lt;&gt;"",39,"")</f>
        <v/>
      </c>
      <c r="V40" s="18">
        <f>IF(O40&lt;&gt;"",V39+O40,V39)</f>
        <v/>
      </c>
    </row>
    <row r="41">
      <c r="A41" s="19" t="n"/>
      <c r="B41" s="20" t="n"/>
      <c r="C41" s="19" t="n"/>
      <c r="D41" s="19" t="n"/>
      <c r="E41" s="19" t="n"/>
      <c r="F41" s="21" t="n"/>
      <c r="G41" s="21" t="n"/>
      <c r="H41" s="21" t="n"/>
      <c r="I41" s="22" t="n"/>
      <c r="J41" s="21">
        <f>IFERROR(IF(AND(F41&lt;&gt;"",G41&lt;&gt;"",I41&lt;&gt;""),ABS(F41-G41)*I41,""),"")</f>
        <v/>
      </c>
      <c r="K41" s="23">
        <f>IFERROR(IF(AND(F41&lt;&gt;"",G41&lt;&gt;"",H41&lt;&gt;""),ABS(H41-F41)/ABS(F41-G41),""),"")</f>
        <v/>
      </c>
      <c r="L41" s="20" t="n"/>
      <c r="M41" s="21" t="n"/>
      <c r="N41" s="21" t="n"/>
      <c r="O41" s="24">
        <f>IFERROR(IF(AND(M41&lt;&gt;"",F41&lt;&gt;"",I41&lt;&gt;""),IF(D41="Long",(M41-F41)*I41-IF(N41&lt;&gt;"",N41,0),IF(D41="Short",(F41-M41)*I41-IF(N41&lt;&gt;"",N41,0),"")),""),"")</f>
        <v/>
      </c>
      <c r="P41" s="25">
        <f>IFERROR(IF(AND(O41&lt;&gt;"",F41&lt;&gt;"",I41&lt;&gt;""),O41/(F41*I41),""),"")</f>
        <v/>
      </c>
      <c r="Q41" s="26">
        <f>IFERROR(IF(AND(O41&lt;&gt;"",J41&lt;&gt;"",J41&lt;&gt;0),O41/J41,""),"")</f>
        <v/>
      </c>
      <c r="R41" s="27">
        <f>IFERROR(IF(AND(L41&lt;&gt;"",B41&lt;&gt;""),L41-B41,""),"")</f>
        <v/>
      </c>
      <c r="S41" s="19" t="n"/>
      <c r="T41" s="19" t="n"/>
      <c r="U41" s="17">
        <f>IF(O41&lt;&gt;"",40,"")</f>
        <v/>
      </c>
      <c r="V41" s="18">
        <f>IF(O41&lt;&gt;"",V40+O41,V40)</f>
        <v/>
      </c>
    </row>
    <row r="42">
      <c r="A42" s="8" t="n"/>
      <c r="B42" s="9" t="n"/>
      <c r="C42" s="8" t="n"/>
      <c r="D42" s="8" t="n"/>
      <c r="E42" s="8" t="n"/>
      <c r="F42" s="10" t="n"/>
      <c r="G42" s="10" t="n"/>
      <c r="H42" s="10" t="n"/>
      <c r="I42" s="11" t="n"/>
      <c r="J42" s="10">
        <f>IFERROR(IF(AND(F42&lt;&gt;"",G42&lt;&gt;"",I42&lt;&gt;""),ABS(F42-G42)*I42,""),"")</f>
        <v/>
      </c>
      <c r="K42" s="12">
        <f>IFERROR(IF(AND(F42&lt;&gt;"",G42&lt;&gt;"",H42&lt;&gt;""),ABS(H42-F42)/ABS(F42-G42),""),"")</f>
        <v/>
      </c>
      <c r="L42" s="9" t="n"/>
      <c r="M42" s="10" t="n"/>
      <c r="N42" s="10" t="n"/>
      <c r="O42" s="13">
        <f>IFERROR(IF(AND(M42&lt;&gt;"",F42&lt;&gt;"",I42&lt;&gt;""),IF(D42="Long",(M42-F42)*I42-IF(N42&lt;&gt;"",N42,0),IF(D42="Short",(F42-M42)*I42-IF(N42&lt;&gt;"",N42,0),"")),""),"")</f>
        <v/>
      </c>
      <c r="P42" s="14">
        <f>IFERROR(IF(AND(O42&lt;&gt;"",F42&lt;&gt;"",I42&lt;&gt;""),O42/(F42*I42),""),"")</f>
        <v/>
      </c>
      <c r="Q42" s="15">
        <f>IFERROR(IF(AND(O42&lt;&gt;"",J42&lt;&gt;"",J42&lt;&gt;0),O42/J42,""),"")</f>
        <v/>
      </c>
      <c r="R42" s="16">
        <f>IFERROR(IF(AND(L42&lt;&gt;"",B42&lt;&gt;""),L42-B42,""),"")</f>
        <v/>
      </c>
      <c r="S42" s="8" t="n"/>
      <c r="T42" s="8" t="n"/>
      <c r="U42" s="17">
        <f>IF(O42&lt;&gt;"",41,"")</f>
        <v/>
      </c>
      <c r="V42" s="18">
        <f>IF(O42&lt;&gt;"",V41+O42,V41)</f>
        <v/>
      </c>
    </row>
    <row r="43">
      <c r="A43" s="19" t="n"/>
      <c r="B43" s="20" t="n"/>
      <c r="C43" s="19" t="n"/>
      <c r="D43" s="19" t="n"/>
      <c r="E43" s="19" t="n"/>
      <c r="F43" s="21" t="n"/>
      <c r="G43" s="21" t="n"/>
      <c r="H43" s="21" t="n"/>
      <c r="I43" s="22" t="n"/>
      <c r="J43" s="21">
        <f>IFERROR(IF(AND(F43&lt;&gt;"",G43&lt;&gt;"",I43&lt;&gt;""),ABS(F43-G43)*I43,""),"")</f>
        <v/>
      </c>
      <c r="K43" s="23">
        <f>IFERROR(IF(AND(F43&lt;&gt;"",G43&lt;&gt;"",H43&lt;&gt;""),ABS(H43-F43)/ABS(F43-G43),""),"")</f>
        <v/>
      </c>
      <c r="L43" s="20" t="n"/>
      <c r="M43" s="21" t="n"/>
      <c r="N43" s="21" t="n"/>
      <c r="O43" s="24">
        <f>IFERROR(IF(AND(M43&lt;&gt;"",F43&lt;&gt;"",I43&lt;&gt;""),IF(D43="Long",(M43-F43)*I43-IF(N43&lt;&gt;"",N43,0),IF(D43="Short",(F43-M43)*I43-IF(N43&lt;&gt;"",N43,0),"")),""),"")</f>
        <v/>
      </c>
      <c r="P43" s="25">
        <f>IFERROR(IF(AND(O43&lt;&gt;"",F43&lt;&gt;"",I43&lt;&gt;""),O43/(F43*I43),""),"")</f>
        <v/>
      </c>
      <c r="Q43" s="26">
        <f>IFERROR(IF(AND(O43&lt;&gt;"",J43&lt;&gt;"",J43&lt;&gt;0),O43/J43,""),"")</f>
        <v/>
      </c>
      <c r="R43" s="27">
        <f>IFERROR(IF(AND(L43&lt;&gt;"",B43&lt;&gt;""),L43-B43,""),"")</f>
        <v/>
      </c>
      <c r="S43" s="19" t="n"/>
      <c r="T43" s="19" t="n"/>
      <c r="U43" s="17">
        <f>IF(O43&lt;&gt;"",42,"")</f>
        <v/>
      </c>
      <c r="V43" s="18">
        <f>IF(O43&lt;&gt;"",V42+O43,V42)</f>
        <v/>
      </c>
    </row>
    <row r="44">
      <c r="A44" s="8" t="n"/>
      <c r="B44" s="9" t="n"/>
      <c r="C44" s="8" t="n"/>
      <c r="D44" s="8" t="n"/>
      <c r="E44" s="8" t="n"/>
      <c r="F44" s="10" t="n"/>
      <c r="G44" s="10" t="n"/>
      <c r="H44" s="10" t="n"/>
      <c r="I44" s="11" t="n"/>
      <c r="J44" s="10">
        <f>IFERROR(IF(AND(F44&lt;&gt;"",G44&lt;&gt;"",I44&lt;&gt;""),ABS(F44-G44)*I44,""),"")</f>
        <v/>
      </c>
      <c r="K44" s="12">
        <f>IFERROR(IF(AND(F44&lt;&gt;"",G44&lt;&gt;"",H44&lt;&gt;""),ABS(H44-F44)/ABS(F44-G44),""),"")</f>
        <v/>
      </c>
      <c r="L44" s="9" t="n"/>
      <c r="M44" s="10" t="n"/>
      <c r="N44" s="10" t="n"/>
      <c r="O44" s="13">
        <f>IFERROR(IF(AND(M44&lt;&gt;"",F44&lt;&gt;"",I44&lt;&gt;""),IF(D44="Long",(M44-F44)*I44-IF(N44&lt;&gt;"",N44,0),IF(D44="Short",(F44-M44)*I44-IF(N44&lt;&gt;"",N44,0),"")),""),"")</f>
        <v/>
      </c>
      <c r="P44" s="14">
        <f>IFERROR(IF(AND(O44&lt;&gt;"",F44&lt;&gt;"",I44&lt;&gt;""),O44/(F44*I44),""),"")</f>
        <v/>
      </c>
      <c r="Q44" s="15">
        <f>IFERROR(IF(AND(O44&lt;&gt;"",J44&lt;&gt;"",J44&lt;&gt;0),O44/J44,""),"")</f>
        <v/>
      </c>
      <c r="R44" s="16">
        <f>IFERROR(IF(AND(L44&lt;&gt;"",B44&lt;&gt;""),L44-B44,""),"")</f>
        <v/>
      </c>
      <c r="S44" s="8" t="n"/>
      <c r="T44" s="8" t="n"/>
      <c r="U44" s="17">
        <f>IF(O44&lt;&gt;"",43,"")</f>
        <v/>
      </c>
      <c r="V44" s="18">
        <f>IF(O44&lt;&gt;"",V43+O44,V43)</f>
        <v/>
      </c>
    </row>
    <row r="45">
      <c r="A45" s="19" t="n"/>
      <c r="B45" s="20" t="n"/>
      <c r="C45" s="19" t="n"/>
      <c r="D45" s="19" t="n"/>
      <c r="E45" s="19" t="n"/>
      <c r="F45" s="21" t="n"/>
      <c r="G45" s="21" t="n"/>
      <c r="H45" s="21" t="n"/>
      <c r="I45" s="22" t="n"/>
      <c r="J45" s="21">
        <f>IFERROR(IF(AND(F45&lt;&gt;"",G45&lt;&gt;"",I45&lt;&gt;""),ABS(F45-G45)*I45,""),"")</f>
        <v/>
      </c>
      <c r="K45" s="23">
        <f>IFERROR(IF(AND(F45&lt;&gt;"",G45&lt;&gt;"",H45&lt;&gt;""),ABS(H45-F45)/ABS(F45-G45),""),"")</f>
        <v/>
      </c>
      <c r="L45" s="20" t="n"/>
      <c r="M45" s="21" t="n"/>
      <c r="N45" s="21" t="n"/>
      <c r="O45" s="24">
        <f>IFERROR(IF(AND(M45&lt;&gt;"",F45&lt;&gt;"",I45&lt;&gt;""),IF(D45="Long",(M45-F45)*I45-IF(N45&lt;&gt;"",N45,0),IF(D45="Short",(F45-M45)*I45-IF(N45&lt;&gt;"",N45,0),"")),""),"")</f>
        <v/>
      </c>
      <c r="P45" s="25">
        <f>IFERROR(IF(AND(O45&lt;&gt;"",F45&lt;&gt;"",I45&lt;&gt;""),O45/(F45*I45),""),"")</f>
        <v/>
      </c>
      <c r="Q45" s="26">
        <f>IFERROR(IF(AND(O45&lt;&gt;"",J45&lt;&gt;"",J45&lt;&gt;0),O45/J45,""),"")</f>
        <v/>
      </c>
      <c r="R45" s="27">
        <f>IFERROR(IF(AND(L45&lt;&gt;"",B45&lt;&gt;""),L45-B45,""),"")</f>
        <v/>
      </c>
      <c r="S45" s="19" t="n"/>
      <c r="T45" s="19" t="n"/>
      <c r="U45" s="17">
        <f>IF(O45&lt;&gt;"",44,"")</f>
        <v/>
      </c>
      <c r="V45" s="18">
        <f>IF(O45&lt;&gt;"",V44+O45,V44)</f>
        <v/>
      </c>
    </row>
    <row r="46">
      <c r="A46" s="8" t="n"/>
      <c r="B46" s="9" t="n"/>
      <c r="C46" s="8" t="n"/>
      <c r="D46" s="8" t="n"/>
      <c r="E46" s="8" t="n"/>
      <c r="F46" s="10" t="n"/>
      <c r="G46" s="10" t="n"/>
      <c r="H46" s="10" t="n"/>
      <c r="I46" s="11" t="n"/>
      <c r="J46" s="10">
        <f>IFERROR(IF(AND(F46&lt;&gt;"",G46&lt;&gt;"",I46&lt;&gt;""),ABS(F46-G46)*I46,""),"")</f>
        <v/>
      </c>
      <c r="K46" s="12">
        <f>IFERROR(IF(AND(F46&lt;&gt;"",G46&lt;&gt;"",H46&lt;&gt;""),ABS(H46-F46)/ABS(F46-G46),""),"")</f>
        <v/>
      </c>
      <c r="L46" s="9" t="n"/>
      <c r="M46" s="10" t="n"/>
      <c r="N46" s="10" t="n"/>
      <c r="O46" s="13">
        <f>IFERROR(IF(AND(M46&lt;&gt;"",F46&lt;&gt;"",I46&lt;&gt;""),IF(D46="Long",(M46-F46)*I46-IF(N46&lt;&gt;"",N46,0),IF(D46="Short",(F46-M46)*I46-IF(N46&lt;&gt;"",N46,0),"")),""),"")</f>
        <v/>
      </c>
      <c r="P46" s="14">
        <f>IFERROR(IF(AND(O46&lt;&gt;"",F46&lt;&gt;"",I46&lt;&gt;""),O46/(F46*I46),""),"")</f>
        <v/>
      </c>
      <c r="Q46" s="15">
        <f>IFERROR(IF(AND(O46&lt;&gt;"",J46&lt;&gt;"",J46&lt;&gt;0),O46/J46,""),"")</f>
        <v/>
      </c>
      <c r="R46" s="16">
        <f>IFERROR(IF(AND(L46&lt;&gt;"",B46&lt;&gt;""),L46-B46,""),"")</f>
        <v/>
      </c>
      <c r="S46" s="8" t="n"/>
      <c r="T46" s="8" t="n"/>
      <c r="U46" s="17">
        <f>IF(O46&lt;&gt;"",45,"")</f>
        <v/>
      </c>
      <c r="V46" s="18">
        <f>IF(O46&lt;&gt;"",V45+O46,V45)</f>
        <v/>
      </c>
    </row>
    <row r="47">
      <c r="A47" s="19" t="n"/>
      <c r="B47" s="20" t="n"/>
      <c r="C47" s="19" t="n"/>
      <c r="D47" s="19" t="n"/>
      <c r="E47" s="19" t="n"/>
      <c r="F47" s="21" t="n"/>
      <c r="G47" s="21" t="n"/>
      <c r="H47" s="21" t="n"/>
      <c r="I47" s="22" t="n"/>
      <c r="J47" s="21">
        <f>IFERROR(IF(AND(F47&lt;&gt;"",G47&lt;&gt;"",I47&lt;&gt;""),ABS(F47-G47)*I47,""),"")</f>
        <v/>
      </c>
      <c r="K47" s="23">
        <f>IFERROR(IF(AND(F47&lt;&gt;"",G47&lt;&gt;"",H47&lt;&gt;""),ABS(H47-F47)/ABS(F47-G47),""),"")</f>
        <v/>
      </c>
      <c r="L47" s="20" t="n"/>
      <c r="M47" s="21" t="n"/>
      <c r="N47" s="21" t="n"/>
      <c r="O47" s="24">
        <f>IFERROR(IF(AND(M47&lt;&gt;"",F47&lt;&gt;"",I47&lt;&gt;""),IF(D47="Long",(M47-F47)*I47-IF(N47&lt;&gt;"",N47,0),IF(D47="Short",(F47-M47)*I47-IF(N47&lt;&gt;"",N47,0),"")),""),"")</f>
        <v/>
      </c>
      <c r="P47" s="25">
        <f>IFERROR(IF(AND(O47&lt;&gt;"",F47&lt;&gt;"",I47&lt;&gt;""),O47/(F47*I47),""),"")</f>
        <v/>
      </c>
      <c r="Q47" s="26">
        <f>IFERROR(IF(AND(O47&lt;&gt;"",J47&lt;&gt;"",J47&lt;&gt;0),O47/J47,""),"")</f>
        <v/>
      </c>
      <c r="R47" s="27">
        <f>IFERROR(IF(AND(L47&lt;&gt;"",B47&lt;&gt;""),L47-B47,""),"")</f>
        <v/>
      </c>
      <c r="S47" s="19" t="n"/>
      <c r="T47" s="19" t="n"/>
      <c r="U47" s="17">
        <f>IF(O47&lt;&gt;"",46,"")</f>
        <v/>
      </c>
      <c r="V47" s="18">
        <f>IF(O47&lt;&gt;"",V46+O47,V46)</f>
        <v/>
      </c>
    </row>
    <row r="48">
      <c r="A48" s="8" t="n"/>
      <c r="B48" s="9" t="n"/>
      <c r="C48" s="8" t="n"/>
      <c r="D48" s="8" t="n"/>
      <c r="E48" s="8" t="n"/>
      <c r="F48" s="10" t="n"/>
      <c r="G48" s="10" t="n"/>
      <c r="H48" s="10" t="n"/>
      <c r="I48" s="11" t="n"/>
      <c r="J48" s="10">
        <f>IFERROR(IF(AND(F48&lt;&gt;"",G48&lt;&gt;"",I48&lt;&gt;""),ABS(F48-G48)*I48,""),"")</f>
        <v/>
      </c>
      <c r="K48" s="12">
        <f>IFERROR(IF(AND(F48&lt;&gt;"",G48&lt;&gt;"",H48&lt;&gt;""),ABS(H48-F48)/ABS(F48-G48),""),"")</f>
        <v/>
      </c>
      <c r="L48" s="9" t="n"/>
      <c r="M48" s="10" t="n"/>
      <c r="N48" s="10" t="n"/>
      <c r="O48" s="13">
        <f>IFERROR(IF(AND(M48&lt;&gt;"",F48&lt;&gt;"",I48&lt;&gt;""),IF(D48="Long",(M48-F48)*I48-IF(N48&lt;&gt;"",N48,0),IF(D48="Short",(F48-M48)*I48-IF(N48&lt;&gt;"",N48,0),"")),""),"")</f>
        <v/>
      </c>
      <c r="P48" s="14">
        <f>IFERROR(IF(AND(O48&lt;&gt;"",F48&lt;&gt;"",I48&lt;&gt;""),O48/(F48*I48),""),"")</f>
        <v/>
      </c>
      <c r="Q48" s="15">
        <f>IFERROR(IF(AND(O48&lt;&gt;"",J48&lt;&gt;"",J48&lt;&gt;0),O48/J48,""),"")</f>
        <v/>
      </c>
      <c r="R48" s="16">
        <f>IFERROR(IF(AND(L48&lt;&gt;"",B48&lt;&gt;""),L48-B48,""),"")</f>
        <v/>
      </c>
      <c r="S48" s="8" t="n"/>
      <c r="T48" s="8" t="n"/>
      <c r="U48" s="17">
        <f>IF(O48&lt;&gt;"",47,"")</f>
        <v/>
      </c>
      <c r="V48" s="18">
        <f>IF(O48&lt;&gt;"",V47+O48,V47)</f>
        <v/>
      </c>
    </row>
    <row r="49">
      <c r="A49" s="19" t="n"/>
      <c r="B49" s="20" t="n"/>
      <c r="C49" s="19" t="n"/>
      <c r="D49" s="19" t="n"/>
      <c r="E49" s="19" t="n"/>
      <c r="F49" s="21" t="n"/>
      <c r="G49" s="21" t="n"/>
      <c r="H49" s="21" t="n"/>
      <c r="I49" s="22" t="n"/>
      <c r="J49" s="21">
        <f>IFERROR(IF(AND(F49&lt;&gt;"",G49&lt;&gt;"",I49&lt;&gt;""),ABS(F49-G49)*I49,""),"")</f>
        <v/>
      </c>
      <c r="K49" s="23">
        <f>IFERROR(IF(AND(F49&lt;&gt;"",G49&lt;&gt;"",H49&lt;&gt;""),ABS(H49-F49)/ABS(F49-G49),""),"")</f>
        <v/>
      </c>
      <c r="L49" s="20" t="n"/>
      <c r="M49" s="21" t="n"/>
      <c r="N49" s="21" t="n"/>
      <c r="O49" s="24">
        <f>IFERROR(IF(AND(M49&lt;&gt;"",F49&lt;&gt;"",I49&lt;&gt;""),IF(D49="Long",(M49-F49)*I49-IF(N49&lt;&gt;"",N49,0),IF(D49="Short",(F49-M49)*I49-IF(N49&lt;&gt;"",N49,0),"")),""),"")</f>
        <v/>
      </c>
      <c r="P49" s="25">
        <f>IFERROR(IF(AND(O49&lt;&gt;"",F49&lt;&gt;"",I49&lt;&gt;""),O49/(F49*I49),""),"")</f>
        <v/>
      </c>
      <c r="Q49" s="26">
        <f>IFERROR(IF(AND(O49&lt;&gt;"",J49&lt;&gt;"",J49&lt;&gt;0),O49/J49,""),"")</f>
        <v/>
      </c>
      <c r="R49" s="27">
        <f>IFERROR(IF(AND(L49&lt;&gt;"",B49&lt;&gt;""),L49-B49,""),"")</f>
        <v/>
      </c>
      <c r="S49" s="19" t="n"/>
      <c r="T49" s="19" t="n"/>
      <c r="U49" s="17">
        <f>IF(O49&lt;&gt;"",48,"")</f>
        <v/>
      </c>
      <c r="V49" s="18">
        <f>IF(O49&lt;&gt;"",V48+O49,V48)</f>
        <v/>
      </c>
    </row>
    <row r="50">
      <c r="A50" s="8" t="n"/>
      <c r="B50" s="9" t="n"/>
      <c r="C50" s="8" t="n"/>
      <c r="D50" s="8" t="n"/>
      <c r="E50" s="8" t="n"/>
      <c r="F50" s="10" t="n"/>
      <c r="G50" s="10" t="n"/>
      <c r="H50" s="10" t="n"/>
      <c r="I50" s="11" t="n"/>
      <c r="J50" s="10">
        <f>IFERROR(IF(AND(F50&lt;&gt;"",G50&lt;&gt;"",I50&lt;&gt;""),ABS(F50-G50)*I50,""),"")</f>
        <v/>
      </c>
      <c r="K50" s="12">
        <f>IFERROR(IF(AND(F50&lt;&gt;"",G50&lt;&gt;"",H50&lt;&gt;""),ABS(H50-F50)/ABS(F50-G50),""),"")</f>
        <v/>
      </c>
      <c r="L50" s="9" t="n"/>
      <c r="M50" s="10" t="n"/>
      <c r="N50" s="10" t="n"/>
      <c r="O50" s="13">
        <f>IFERROR(IF(AND(M50&lt;&gt;"",F50&lt;&gt;"",I50&lt;&gt;""),IF(D50="Long",(M50-F50)*I50-IF(N50&lt;&gt;"",N50,0),IF(D50="Short",(F50-M50)*I50-IF(N50&lt;&gt;"",N50,0),"")),""),"")</f>
        <v/>
      </c>
      <c r="P50" s="14">
        <f>IFERROR(IF(AND(O50&lt;&gt;"",F50&lt;&gt;"",I50&lt;&gt;""),O50/(F50*I50),""),"")</f>
        <v/>
      </c>
      <c r="Q50" s="15">
        <f>IFERROR(IF(AND(O50&lt;&gt;"",J50&lt;&gt;"",J50&lt;&gt;0),O50/J50,""),"")</f>
        <v/>
      </c>
      <c r="R50" s="16">
        <f>IFERROR(IF(AND(L50&lt;&gt;"",B50&lt;&gt;""),L50-B50,""),"")</f>
        <v/>
      </c>
      <c r="S50" s="8" t="n"/>
      <c r="T50" s="8" t="n"/>
      <c r="U50" s="17">
        <f>IF(O50&lt;&gt;"",49,"")</f>
        <v/>
      </c>
      <c r="V50" s="18">
        <f>IF(O50&lt;&gt;"",V49+O50,V49)</f>
        <v/>
      </c>
    </row>
    <row r="51">
      <c r="A51" s="19" t="n"/>
      <c r="B51" s="20" t="n"/>
      <c r="C51" s="19" t="n"/>
      <c r="D51" s="19" t="n"/>
      <c r="E51" s="19" t="n"/>
      <c r="F51" s="21" t="n"/>
      <c r="G51" s="21" t="n"/>
      <c r="H51" s="21" t="n"/>
      <c r="I51" s="22" t="n"/>
      <c r="J51" s="21">
        <f>IFERROR(IF(AND(F51&lt;&gt;"",G51&lt;&gt;"",I51&lt;&gt;""),ABS(F51-G51)*I51,""),"")</f>
        <v/>
      </c>
      <c r="K51" s="23">
        <f>IFERROR(IF(AND(F51&lt;&gt;"",G51&lt;&gt;"",H51&lt;&gt;""),ABS(H51-F51)/ABS(F51-G51),""),"")</f>
        <v/>
      </c>
      <c r="L51" s="20" t="n"/>
      <c r="M51" s="21" t="n"/>
      <c r="N51" s="21" t="n"/>
      <c r="O51" s="24">
        <f>IFERROR(IF(AND(M51&lt;&gt;"",F51&lt;&gt;"",I51&lt;&gt;""),IF(D51="Long",(M51-F51)*I51-IF(N51&lt;&gt;"",N51,0),IF(D51="Short",(F51-M51)*I51-IF(N51&lt;&gt;"",N51,0),"")),""),"")</f>
        <v/>
      </c>
      <c r="P51" s="25">
        <f>IFERROR(IF(AND(O51&lt;&gt;"",F51&lt;&gt;"",I51&lt;&gt;""),O51/(F51*I51),""),"")</f>
        <v/>
      </c>
      <c r="Q51" s="26">
        <f>IFERROR(IF(AND(O51&lt;&gt;"",J51&lt;&gt;"",J51&lt;&gt;0),O51/J51,""),"")</f>
        <v/>
      </c>
      <c r="R51" s="27">
        <f>IFERROR(IF(AND(L51&lt;&gt;"",B51&lt;&gt;""),L51-B51,""),"")</f>
        <v/>
      </c>
      <c r="S51" s="19" t="n"/>
      <c r="T51" s="19" t="n"/>
      <c r="U51" s="17">
        <f>IF(O51&lt;&gt;"",50,"")</f>
        <v/>
      </c>
      <c r="V51" s="18">
        <f>IF(O51&lt;&gt;"",V50+O51,V50)</f>
        <v/>
      </c>
    </row>
    <row r="52">
      <c r="A52" s="8" t="n"/>
      <c r="B52" s="9" t="n"/>
      <c r="C52" s="8" t="n"/>
      <c r="D52" s="8" t="n"/>
      <c r="E52" s="8" t="n"/>
      <c r="F52" s="10" t="n"/>
      <c r="G52" s="10" t="n"/>
      <c r="H52" s="10" t="n"/>
      <c r="I52" s="11" t="n"/>
      <c r="J52" s="10">
        <f>IFERROR(IF(AND(F52&lt;&gt;"",G52&lt;&gt;"",I52&lt;&gt;""),ABS(F52-G52)*I52,""),"")</f>
        <v/>
      </c>
      <c r="K52" s="12">
        <f>IFERROR(IF(AND(F52&lt;&gt;"",G52&lt;&gt;"",H52&lt;&gt;""),ABS(H52-F52)/ABS(F52-G52),""),"")</f>
        <v/>
      </c>
      <c r="L52" s="9" t="n"/>
      <c r="M52" s="10" t="n"/>
      <c r="N52" s="10" t="n"/>
      <c r="O52" s="13">
        <f>IFERROR(IF(AND(M52&lt;&gt;"",F52&lt;&gt;"",I52&lt;&gt;""),IF(D52="Long",(M52-F52)*I52-IF(N52&lt;&gt;"",N52,0),IF(D52="Short",(F52-M52)*I52-IF(N52&lt;&gt;"",N52,0),"")),""),"")</f>
        <v/>
      </c>
      <c r="P52" s="14">
        <f>IFERROR(IF(AND(O52&lt;&gt;"",F52&lt;&gt;"",I52&lt;&gt;""),O52/(F52*I52),""),"")</f>
        <v/>
      </c>
      <c r="Q52" s="15">
        <f>IFERROR(IF(AND(O52&lt;&gt;"",J52&lt;&gt;"",J52&lt;&gt;0),O52/J52,""),"")</f>
        <v/>
      </c>
      <c r="R52" s="16">
        <f>IFERROR(IF(AND(L52&lt;&gt;"",B52&lt;&gt;""),L52-B52,""),"")</f>
        <v/>
      </c>
      <c r="S52" s="8" t="n"/>
      <c r="T52" s="8" t="n"/>
      <c r="U52" s="17">
        <f>IF(O52&lt;&gt;"",51,"")</f>
        <v/>
      </c>
      <c r="V52" s="18">
        <f>IF(O52&lt;&gt;"",V51+O52,V51)</f>
        <v/>
      </c>
    </row>
    <row r="53">
      <c r="A53" s="19" t="n"/>
      <c r="B53" s="20" t="n"/>
      <c r="C53" s="19" t="n"/>
      <c r="D53" s="19" t="n"/>
      <c r="E53" s="19" t="n"/>
      <c r="F53" s="21" t="n"/>
      <c r="G53" s="21" t="n"/>
      <c r="H53" s="21" t="n"/>
      <c r="I53" s="22" t="n"/>
      <c r="J53" s="21">
        <f>IFERROR(IF(AND(F53&lt;&gt;"",G53&lt;&gt;"",I53&lt;&gt;""),ABS(F53-G53)*I53,""),"")</f>
        <v/>
      </c>
      <c r="K53" s="23">
        <f>IFERROR(IF(AND(F53&lt;&gt;"",G53&lt;&gt;"",H53&lt;&gt;""),ABS(H53-F53)/ABS(F53-G53),""),"")</f>
        <v/>
      </c>
      <c r="L53" s="20" t="n"/>
      <c r="M53" s="21" t="n"/>
      <c r="N53" s="21" t="n"/>
      <c r="O53" s="24">
        <f>IFERROR(IF(AND(M53&lt;&gt;"",F53&lt;&gt;"",I53&lt;&gt;""),IF(D53="Long",(M53-F53)*I53-IF(N53&lt;&gt;"",N53,0),IF(D53="Short",(F53-M53)*I53-IF(N53&lt;&gt;"",N53,0),"")),""),"")</f>
        <v/>
      </c>
      <c r="P53" s="25">
        <f>IFERROR(IF(AND(O53&lt;&gt;"",F53&lt;&gt;"",I53&lt;&gt;""),O53/(F53*I53),""),"")</f>
        <v/>
      </c>
      <c r="Q53" s="26">
        <f>IFERROR(IF(AND(O53&lt;&gt;"",J53&lt;&gt;"",J53&lt;&gt;0),O53/J53,""),"")</f>
        <v/>
      </c>
      <c r="R53" s="27">
        <f>IFERROR(IF(AND(L53&lt;&gt;"",B53&lt;&gt;""),L53-B53,""),"")</f>
        <v/>
      </c>
      <c r="S53" s="19" t="n"/>
      <c r="T53" s="19" t="n"/>
      <c r="U53" s="17">
        <f>IF(O53&lt;&gt;"",52,"")</f>
        <v/>
      </c>
      <c r="V53" s="18">
        <f>IF(O53&lt;&gt;"",V52+O53,V52)</f>
        <v/>
      </c>
    </row>
    <row r="54">
      <c r="A54" s="8" t="n"/>
      <c r="B54" s="9" t="n"/>
      <c r="C54" s="8" t="n"/>
      <c r="D54" s="8" t="n"/>
      <c r="E54" s="8" t="n"/>
      <c r="F54" s="10" t="n"/>
      <c r="G54" s="10" t="n"/>
      <c r="H54" s="10" t="n"/>
      <c r="I54" s="11" t="n"/>
      <c r="J54" s="10">
        <f>IFERROR(IF(AND(F54&lt;&gt;"",G54&lt;&gt;"",I54&lt;&gt;""),ABS(F54-G54)*I54,""),"")</f>
        <v/>
      </c>
      <c r="K54" s="12">
        <f>IFERROR(IF(AND(F54&lt;&gt;"",G54&lt;&gt;"",H54&lt;&gt;""),ABS(H54-F54)/ABS(F54-G54),""),"")</f>
        <v/>
      </c>
      <c r="L54" s="9" t="n"/>
      <c r="M54" s="10" t="n"/>
      <c r="N54" s="10" t="n"/>
      <c r="O54" s="13">
        <f>IFERROR(IF(AND(M54&lt;&gt;"",F54&lt;&gt;"",I54&lt;&gt;""),IF(D54="Long",(M54-F54)*I54-IF(N54&lt;&gt;"",N54,0),IF(D54="Short",(F54-M54)*I54-IF(N54&lt;&gt;"",N54,0),"")),""),"")</f>
        <v/>
      </c>
      <c r="P54" s="14">
        <f>IFERROR(IF(AND(O54&lt;&gt;"",F54&lt;&gt;"",I54&lt;&gt;""),O54/(F54*I54),""),"")</f>
        <v/>
      </c>
      <c r="Q54" s="15">
        <f>IFERROR(IF(AND(O54&lt;&gt;"",J54&lt;&gt;"",J54&lt;&gt;0),O54/J54,""),"")</f>
        <v/>
      </c>
      <c r="R54" s="16">
        <f>IFERROR(IF(AND(L54&lt;&gt;"",B54&lt;&gt;""),L54-B54,""),"")</f>
        <v/>
      </c>
      <c r="S54" s="8" t="n"/>
      <c r="T54" s="8" t="n"/>
      <c r="U54" s="17">
        <f>IF(O54&lt;&gt;"",53,"")</f>
        <v/>
      </c>
      <c r="V54" s="18">
        <f>IF(O54&lt;&gt;"",V53+O54,V53)</f>
        <v/>
      </c>
    </row>
    <row r="55">
      <c r="A55" s="19" t="n"/>
      <c r="B55" s="20" t="n"/>
      <c r="C55" s="19" t="n"/>
      <c r="D55" s="19" t="n"/>
      <c r="E55" s="19" t="n"/>
      <c r="F55" s="21" t="n"/>
      <c r="G55" s="21" t="n"/>
      <c r="H55" s="21" t="n"/>
      <c r="I55" s="22" t="n"/>
      <c r="J55" s="21">
        <f>IFERROR(IF(AND(F55&lt;&gt;"",G55&lt;&gt;"",I55&lt;&gt;""),ABS(F55-G55)*I55,""),"")</f>
        <v/>
      </c>
      <c r="K55" s="23">
        <f>IFERROR(IF(AND(F55&lt;&gt;"",G55&lt;&gt;"",H55&lt;&gt;""),ABS(H55-F55)/ABS(F55-G55),""),"")</f>
        <v/>
      </c>
      <c r="L55" s="20" t="n"/>
      <c r="M55" s="21" t="n"/>
      <c r="N55" s="21" t="n"/>
      <c r="O55" s="24">
        <f>IFERROR(IF(AND(M55&lt;&gt;"",F55&lt;&gt;"",I55&lt;&gt;""),IF(D55="Long",(M55-F55)*I55-IF(N55&lt;&gt;"",N55,0),IF(D55="Short",(F55-M55)*I55-IF(N55&lt;&gt;"",N55,0),"")),""),"")</f>
        <v/>
      </c>
      <c r="P55" s="25">
        <f>IFERROR(IF(AND(O55&lt;&gt;"",F55&lt;&gt;"",I55&lt;&gt;""),O55/(F55*I55),""),"")</f>
        <v/>
      </c>
      <c r="Q55" s="26">
        <f>IFERROR(IF(AND(O55&lt;&gt;"",J55&lt;&gt;"",J55&lt;&gt;0),O55/J55,""),"")</f>
        <v/>
      </c>
      <c r="R55" s="27">
        <f>IFERROR(IF(AND(L55&lt;&gt;"",B55&lt;&gt;""),L55-B55,""),"")</f>
        <v/>
      </c>
      <c r="S55" s="19" t="n"/>
      <c r="T55" s="19" t="n"/>
      <c r="U55" s="17">
        <f>IF(O55&lt;&gt;"",54,"")</f>
        <v/>
      </c>
      <c r="V55" s="18">
        <f>IF(O55&lt;&gt;"",V54+O55,V54)</f>
        <v/>
      </c>
    </row>
    <row r="56">
      <c r="A56" s="8" t="n"/>
      <c r="B56" s="9" t="n"/>
      <c r="C56" s="8" t="n"/>
      <c r="D56" s="8" t="n"/>
      <c r="E56" s="8" t="n"/>
      <c r="F56" s="10" t="n"/>
      <c r="G56" s="10" t="n"/>
      <c r="H56" s="10" t="n"/>
      <c r="I56" s="11" t="n"/>
      <c r="J56" s="10">
        <f>IFERROR(IF(AND(F56&lt;&gt;"",G56&lt;&gt;"",I56&lt;&gt;""),ABS(F56-G56)*I56,""),"")</f>
        <v/>
      </c>
      <c r="K56" s="12">
        <f>IFERROR(IF(AND(F56&lt;&gt;"",G56&lt;&gt;"",H56&lt;&gt;""),ABS(H56-F56)/ABS(F56-G56),""),"")</f>
        <v/>
      </c>
      <c r="L56" s="9" t="n"/>
      <c r="M56" s="10" t="n"/>
      <c r="N56" s="10" t="n"/>
      <c r="O56" s="13">
        <f>IFERROR(IF(AND(M56&lt;&gt;"",F56&lt;&gt;"",I56&lt;&gt;""),IF(D56="Long",(M56-F56)*I56-IF(N56&lt;&gt;"",N56,0),IF(D56="Short",(F56-M56)*I56-IF(N56&lt;&gt;"",N56,0),"")),""),"")</f>
        <v/>
      </c>
      <c r="P56" s="14">
        <f>IFERROR(IF(AND(O56&lt;&gt;"",F56&lt;&gt;"",I56&lt;&gt;""),O56/(F56*I56),""),"")</f>
        <v/>
      </c>
      <c r="Q56" s="15">
        <f>IFERROR(IF(AND(O56&lt;&gt;"",J56&lt;&gt;"",J56&lt;&gt;0),O56/J56,""),"")</f>
        <v/>
      </c>
      <c r="R56" s="16">
        <f>IFERROR(IF(AND(L56&lt;&gt;"",B56&lt;&gt;""),L56-B56,""),"")</f>
        <v/>
      </c>
      <c r="S56" s="8" t="n"/>
      <c r="T56" s="8" t="n"/>
      <c r="U56" s="17">
        <f>IF(O56&lt;&gt;"",55,"")</f>
        <v/>
      </c>
      <c r="V56" s="18">
        <f>IF(O56&lt;&gt;"",V55+O56,V55)</f>
        <v/>
      </c>
    </row>
    <row r="57">
      <c r="A57" s="19" t="n"/>
      <c r="B57" s="20" t="n"/>
      <c r="C57" s="19" t="n"/>
      <c r="D57" s="19" t="n"/>
      <c r="E57" s="19" t="n"/>
      <c r="F57" s="21" t="n"/>
      <c r="G57" s="21" t="n"/>
      <c r="H57" s="21" t="n"/>
      <c r="I57" s="22" t="n"/>
      <c r="J57" s="21">
        <f>IFERROR(IF(AND(F57&lt;&gt;"",G57&lt;&gt;"",I57&lt;&gt;""),ABS(F57-G57)*I57,""),"")</f>
        <v/>
      </c>
      <c r="K57" s="23">
        <f>IFERROR(IF(AND(F57&lt;&gt;"",G57&lt;&gt;"",H57&lt;&gt;""),ABS(H57-F57)/ABS(F57-G57),""),"")</f>
        <v/>
      </c>
      <c r="L57" s="20" t="n"/>
      <c r="M57" s="21" t="n"/>
      <c r="N57" s="21" t="n"/>
      <c r="O57" s="24">
        <f>IFERROR(IF(AND(M57&lt;&gt;"",F57&lt;&gt;"",I57&lt;&gt;""),IF(D57="Long",(M57-F57)*I57-IF(N57&lt;&gt;"",N57,0),IF(D57="Short",(F57-M57)*I57-IF(N57&lt;&gt;"",N57,0),"")),""),"")</f>
        <v/>
      </c>
      <c r="P57" s="25">
        <f>IFERROR(IF(AND(O57&lt;&gt;"",F57&lt;&gt;"",I57&lt;&gt;""),O57/(F57*I57),""),"")</f>
        <v/>
      </c>
      <c r="Q57" s="26">
        <f>IFERROR(IF(AND(O57&lt;&gt;"",J57&lt;&gt;"",J57&lt;&gt;0),O57/J57,""),"")</f>
        <v/>
      </c>
      <c r="R57" s="27">
        <f>IFERROR(IF(AND(L57&lt;&gt;"",B57&lt;&gt;""),L57-B57,""),"")</f>
        <v/>
      </c>
      <c r="S57" s="19" t="n"/>
      <c r="T57" s="19" t="n"/>
      <c r="U57" s="17">
        <f>IF(O57&lt;&gt;"",56,"")</f>
        <v/>
      </c>
      <c r="V57" s="18">
        <f>IF(O57&lt;&gt;"",V56+O57,V56)</f>
        <v/>
      </c>
    </row>
    <row r="58">
      <c r="A58" s="8" t="n"/>
      <c r="B58" s="9" t="n"/>
      <c r="C58" s="8" t="n"/>
      <c r="D58" s="8" t="n"/>
      <c r="E58" s="8" t="n"/>
      <c r="F58" s="10" t="n"/>
      <c r="G58" s="10" t="n"/>
      <c r="H58" s="10" t="n"/>
      <c r="I58" s="11" t="n"/>
      <c r="J58" s="10">
        <f>IFERROR(IF(AND(F58&lt;&gt;"",G58&lt;&gt;"",I58&lt;&gt;""),ABS(F58-G58)*I58,""),"")</f>
        <v/>
      </c>
      <c r="K58" s="12">
        <f>IFERROR(IF(AND(F58&lt;&gt;"",G58&lt;&gt;"",H58&lt;&gt;""),ABS(H58-F58)/ABS(F58-G58),""),"")</f>
        <v/>
      </c>
      <c r="L58" s="9" t="n"/>
      <c r="M58" s="10" t="n"/>
      <c r="N58" s="10" t="n"/>
      <c r="O58" s="13">
        <f>IFERROR(IF(AND(M58&lt;&gt;"",F58&lt;&gt;"",I58&lt;&gt;""),IF(D58="Long",(M58-F58)*I58-IF(N58&lt;&gt;"",N58,0),IF(D58="Short",(F58-M58)*I58-IF(N58&lt;&gt;"",N58,0),"")),""),"")</f>
        <v/>
      </c>
      <c r="P58" s="14">
        <f>IFERROR(IF(AND(O58&lt;&gt;"",F58&lt;&gt;"",I58&lt;&gt;""),O58/(F58*I58),""),"")</f>
        <v/>
      </c>
      <c r="Q58" s="15">
        <f>IFERROR(IF(AND(O58&lt;&gt;"",J58&lt;&gt;"",J58&lt;&gt;0),O58/J58,""),"")</f>
        <v/>
      </c>
      <c r="R58" s="16">
        <f>IFERROR(IF(AND(L58&lt;&gt;"",B58&lt;&gt;""),L58-B58,""),"")</f>
        <v/>
      </c>
      <c r="S58" s="8" t="n"/>
      <c r="T58" s="8" t="n"/>
      <c r="U58" s="17">
        <f>IF(O58&lt;&gt;"",57,"")</f>
        <v/>
      </c>
      <c r="V58" s="18">
        <f>IF(O58&lt;&gt;"",V57+O58,V57)</f>
        <v/>
      </c>
    </row>
    <row r="59">
      <c r="A59" s="19" t="n"/>
      <c r="B59" s="20" t="n"/>
      <c r="C59" s="19" t="n"/>
      <c r="D59" s="19" t="n"/>
      <c r="E59" s="19" t="n"/>
      <c r="F59" s="21" t="n"/>
      <c r="G59" s="21" t="n"/>
      <c r="H59" s="21" t="n"/>
      <c r="I59" s="22" t="n"/>
      <c r="J59" s="21">
        <f>IFERROR(IF(AND(F59&lt;&gt;"",G59&lt;&gt;"",I59&lt;&gt;""),ABS(F59-G59)*I59,""),"")</f>
        <v/>
      </c>
      <c r="K59" s="23">
        <f>IFERROR(IF(AND(F59&lt;&gt;"",G59&lt;&gt;"",H59&lt;&gt;""),ABS(H59-F59)/ABS(F59-G59),""),"")</f>
        <v/>
      </c>
      <c r="L59" s="20" t="n"/>
      <c r="M59" s="21" t="n"/>
      <c r="N59" s="21" t="n"/>
      <c r="O59" s="24">
        <f>IFERROR(IF(AND(M59&lt;&gt;"",F59&lt;&gt;"",I59&lt;&gt;""),IF(D59="Long",(M59-F59)*I59-IF(N59&lt;&gt;"",N59,0),IF(D59="Short",(F59-M59)*I59-IF(N59&lt;&gt;"",N59,0),"")),""),"")</f>
        <v/>
      </c>
      <c r="P59" s="25">
        <f>IFERROR(IF(AND(O59&lt;&gt;"",F59&lt;&gt;"",I59&lt;&gt;""),O59/(F59*I59),""),"")</f>
        <v/>
      </c>
      <c r="Q59" s="26">
        <f>IFERROR(IF(AND(O59&lt;&gt;"",J59&lt;&gt;"",J59&lt;&gt;0),O59/J59,""),"")</f>
        <v/>
      </c>
      <c r="R59" s="27">
        <f>IFERROR(IF(AND(L59&lt;&gt;"",B59&lt;&gt;""),L59-B59,""),"")</f>
        <v/>
      </c>
      <c r="S59" s="19" t="n"/>
      <c r="T59" s="19" t="n"/>
      <c r="U59" s="17">
        <f>IF(O59&lt;&gt;"",58,"")</f>
        <v/>
      </c>
      <c r="V59" s="18">
        <f>IF(O59&lt;&gt;"",V58+O59,V58)</f>
        <v/>
      </c>
    </row>
    <row r="60">
      <c r="A60" s="8" t="n"/>
      <c r="B60" s="9" t="n"/>
      <c r="C60" s="8" t="n"/>
      <c r="D60" s="8" t="n"/>
      <c r="E60" s="8" t="n"/>
      <c r="F60" s="10" t="n"/>
      <c r="G60" s="10" t="n"/>
      <c r="H60" s="10" t="n"/>
      <c r="I60" s="11" t="n"/>
      <c r="J60" s="10">
        <f>IFERROR(IF(AND(F60&lt;&gt;"",G60&lt;&gt;"",I60&lt;&gt;""),ABS(F60-G60)*I60,""),"")</f>
        <v/>
      </c>
      <c r="K60" s="12">
        <f>IFERROR(IF(AND(F60&lt;&gt;"",G60&lt;&gt;"",H60&lt;&gt;""),ABS(H60-F60)/ABS(F60-G60),""),"")</f>
        <v/>
      </c>
      <c r="L60" s="9" t="n"/>
      <c r="M60" s="10" t="n"/>
      <c r="N60" s="10" t="n"/>
      <c r="O60" s="13">
        <f>IFERROR(IF(AND(M60&lt;&gt;"",F60&lt;&gt;"",I60&lt;&gt;""),IF(D60="Long",(M60-F60)*I60-IF(N60&lt;&gt;"",N60,0),IF(D60="Short",(F60-M60)*I60-IF(N60&lt;&gt;"",N60,0),"")),""),"")</f>
        <v/>
      </c>
      <c r="P60" s="14">
        <f>IFERROR(IF(AND(O60&lt;&gt;"",F60&lt;&gt;"",I60&lt;&gt;""),O60/(F60*I60),""),"")</f>
        <v/>
      </c>
      <c r="Q60" s="15">
        <f>IFERROR(IF(AND(O60&lt;&gt;"",J60&lt;&gt;"",J60&lt;&gt;0),O60/J60,""),"")</f>
        <v/>
      </c>
      <c r="R60" s="16">
        <f>IFERROR(IF(AND(L60&lt;&gt;"",B60&lt;&gt;""),L60-B60,""),"")</f>
        <v/>
      </c>
      <c r="S60" s="8" t="n"/>
      <c r="T60" s="8" t="n"/>
      <c r="U60" s="17">
        <f>IF(O60&lt;&gt;"",59,"")</f>
        <v/>
      </c>
      <c r="V60" s="18">
        <f>IF(O60&lt;&gt;"",V59+O60,V59)</f>
        <v/>
      </c>
    </row>
    <row r="61">
      <c r="A61" s="19" t="n"/>
      <c r="B61" s="20" t="n"/>
      <c r="C61" s="19" t="n"/>
      <c r="D61" s="19" t="n"/>
      <c r="E61" s="19" t="n"/>
      <c r="F61" s="21" t="n"/>
      <c r="G61" s="21" t="n"/>
      <c r="H61" s="21" t="n"/>
      <c r="I61" s="22" t="n"/>
      <c r="J61" s="21">
        <f>IFERROR(IF(AND(F61&lt;&gt;"",G61&lt;&gt;"",I61&lt;&gt;""),ABS(F61-G61)*I61,""),"")</f>
        <v/>
      </c>
      <c r="K61" s="23">
        <f>IFERROR(IF(AND(F61&lt;&gt;"",G61&lt;&gt;"",H61&lt;&gt;""),ABS(H61-F61)/ABS(F61-G61),""),"")</f>
        <v/>
      </c>
      <c r="L61" s="20" t="n"/>
      <c r="M61" s="21" t="n"/>
      <c r="N61" s="21" t="n"/>
      <c r="O61" s="24">
        <f>IFERROR(IF(AND(M61&lt;&gt;"",F61&lt;&gt;"",I61&lt;&gt;""),IF(D61="Long",(M61-F61)*I61-IF(N61&lt;&gt;"",N61,0),IF(D61="Short",(F61-M61)*I61-IF(N61&lt;&gt;"",N61,0),"")),""),"")</f>
        <v/>
      </c>
      <c r="P61" s="25">
        <f>IFERROR(IF(AND(O61&lt;&gt;"",F61&lt;&gt;"",I61&lt;&gt;""),O61/(F61*I61),""),"")</f>
        <v/>
      </c>
      <c r="Q61" s="26">
        <f>IFERROR(IF(AND(O61&lt;&gt;"",J61&lt;&gt;"",J61&lt;&gt;0),O61/J61,""),"")</f>
        <v/>
      </c>
      <c r="R61" s="27">
        <f>IFERROR(IF(AND(L61&lt;&gt;"",B61&lt;&gt;""),L61-B61,""),"")</f>
        <v/>
      </c>
      <c r="S61" s="19" t="n"/>
      <c r="T61" s="19" t="n"/>
      <c r="U61" s="17">
        <f>IF(O61&lt;&gt;"",60,"")</f>
        <v/>
      </c>
      <c r="V61" s="18">
        <f>IF(O61&lt;&gt;"",V60+O61,V60)</f>
        <v/>
      </c>
    </row>
    <row r="62">
      <c r="A62" s="8" t="n"/>
      <c r="B62" s="9" t="n"/>
      <c r="C62" s="8" t="n"/>
      <c r="D62" s="8" t="n"/>
      <c r="E62" s="8" t="n"/>
      <c r="F62" s="10" t="n"/>
      <c r="G62" s="10" t="n"/>
      <c r="H62" s="10" t="n"/>
      <c r="I62" s="11" t="n"/>
      <c r="J62" s="10">
        <f>IFERROR(IF(AND(F62&lt;&gt;"",G62&lt;&gt;"",I62&lt;&gt;""),ABS(F62-G62)*I62,""),"")</f>
        <v/>
      </c>
      <c r="K62" s="12">
        <f>IFERROR(IF(AND(F62&lt;&gt;"",G62&lt;&gt;"",H62&lt;&gt;""),ABS(H62-F62)/ABS(F62-G62),""),"")</f>
        <v/>
      </c>
      <c r="L62" s="9" t="n"/>
      <c r="M62" s="10" t="n"/>
      <c r="N62" s="10" t="n"/>
      <c r="O62" s="13">
        <f>IFERROR(IF(AND(M62&lt;&gt;"",F62&lt;&gt;"",I62&lt;&gt;""),IF(D62="Long",(M62-F62)*I62-IF(N62&lt;&gt;"",N62,0),IF(D62="Short",(F62-M62)*I62-IF(N62&lt;&gt;"",N62,0),"")),""),"")</f>
        <v/>
      </c>
      <c r="P62" s="14">
        <f>IFERROR(IF(AND(O62&lt;&gt;"",F62&lt;&gt;"",I62&lt;&gt;""),O62/(F62*I62),""),"")</f>
        <v/>
      </c>
      <c r="Q62" s="15">
        <f>IFERROR(IF(AND(O62&lt;&gt;"",J62&lt;&gt;"",J62&lt;&gt;0),O62/J62,""),"")</f>
        <v/>
      </c>
      <c r="R62" s="16">
        <f>IFERROR(IF(AND(L62&lt;&gt;"",B62&lt;&gt;""),L62-B62,""),"")</f>
        <v/>
      </c>
      <c r="S62" s="8" t="n"/>
      <c r="T62" s="8" t="n"/>
      <c r="U62" s="17">
        <f>IF(O62&lt;&gt;"",61,"")</f>
        <v/>
      </c>
      <c r="V62" s="18">
        <f>IF(O62&lt;&gt;"",V61+O62,V61)</f>
        <v/>
      </c>
    </row>
    <row r="63">
      <c r="A63" s="19" t="n"/>
      <c r="B63" s="20" t="n"/>
      <c r="C63" s="19" t="n"/>
      <c r="D63" s="19" t="n"/>
      <c r="E63" s="19" t="n"/>
      <c r="F63" s="21" t="n"/>
      <c r="G63" s="21" t="n"/>
      <c r="H63" s="21" t="n"/>
      <c r="I63" s="22" t="n"/>
      <c r="J63" s="21">
        <f>IFERROR(IF(AND(F63&lt;&gt;"",G63&lt;&gt;"",I63&lt;&gt;""),ABS(F63-G63)*I63,""),"")</f>
        <v/>
      </c>
      <c r="K63" s="23">
        <f>IFERROR(IF(AND(F63&lt;&gt;"",G63&lt;&gt;"",H63&lt;&gt;""),ABS(H63-F63)/ABS(F63-G63),""),"")</f>
        <v/>
      </c>
      <c r="L63" s="20" t="n"/>
      <c r="M63" s="21" t="n"/>
      <c r="N63" s="21" t="n"/>
      <c r="O63" s="24">
        <f>IFERROR(IF(AND(M63&lt;&gt;"",F63&lt;&gt;"",I63&lt;&gt;""),IF(D63="Long",(M63-F63)*I63-IF(N63&lt;&gt;"",N63,0),IF(D63="Short",(F63-M63)*I63-IF(N63&lt;&gt;"",N63,0),"")),""),"")</f>
        <v/>
      </c>
      <c r="P63" s="25">
        <f>IFERROR(IF(AND(O63&lt;&gt;"",F63&lt;&gt;"",I63&lt;&gt;""),O63/(F63*I63),""),"")</f>
        <v/>
      </c>
      <c r="Q63" s="26">
        <f>IFERROR(IF(AND(O63&lt;&gt;"",J63&lt;&gt;"",J63&lt;&gt;0),O63/J63,""),"")</f>
        <v/>
      </c>
      <c r="R63" s="27">
        <f>IFERROR(IF(AND(L63&lt;&gt;"",B63&lt;&gt;""),L63-B63,""),"")</f>
        <v/>
      </c>
      <c r="S63" s="19" t="n"/>
      <c r="T63" s="19" t="n"/>
      <c r="U63" s="17">
        <f>IF(O63&lt;&gt;"",62,"")</f>
        <v/>
      </c>
      <c r="V63" s="18">
        <f>IF(O63&lt;&gt;"",V62+O63,V62)</f>
        <v/>
      </c>
    </row>
    <row r="64">
      <c r="A64" s="8" t="n"/>
      <c r="B64" s="9" t="n"/>
      <c r="C64" s="8" t="n"/>
      <c r="D64" s="8" t="n"/>
      <c r="E64" s="8" t="n"/>
      <c r="F64" s="10" t="n"/>
      <c r="G64" s="10" t="n"/>
      <c r="H64" s="10" t="n"/>
      <c r="I64" s="11" t="n"/>
      <c r="J64" s="10">
        <f>IFERROR(IF(AND(F64&lt;&gt;"",G64&lt;&gt;"",I64&lt;&gt;""),ABS(F64-G64)*I64,""),"")</f>
        <v/>
      </c>
      <c r="K64" s="12">
        <f>IFERROR(IF(AND(F64&lt;&gt;"",G64&lt;&gt;"",H64&lt;&gt;""),ABS(H64-F64)/ABS(F64-G64),""),"")</f>
        <v/>
      </c>
      <c r="L64" s="9" t="n"/>
      <c r="M64" s="10" t="n"/>
      <c r="N64" s="10" t="n"/>
      <c r="O64" s="13">
        <f>IFERROR(IF(AND(M64&lt;&gt;"",F64&lt;&gt;"",I64&lt;&gt;""),IF(D64="Long",(M64-F64)*I64-IF(N64&lt;&gt;"",N64,0),IF(D64="Short",(F64-M64)*I64-IF(N64&lt;&gt;"",N64,0),"")),""),"")</f>
        <v/>
      </c>
      <c r="P64" s="14">
        <f>IFERROR(IF(AND(O64&lt;&gt;"",F64&lt;&gt;"",I64&lt;&gt;""),O64/(F64*I64),""),"")</f>
        <v/>
      </c>
      <c r="Q64" s="15">
        <f>IFERROR(IF(AND(O64&lt;&gt;"",J64&lt;&gt;"",J64&lt;&gt;0),O64/J64,""),"")</f>
        <v/>
      </c>
      <c r="R64" s="16">
        <f>IFERROR(IF(AND(L64&lt;&gt;"",B64&lt;&gt;""),L64-B64,""),"")</f>
        <v/>
      </c>
      <c r="S64" s="8" t="n"/>
      <c r="T64" s="8" t="n"/>
      <c r="U64" s="17">
        <f>IF(O64&lt;&gt;"",63,"")</f>
        <v/>
      </c>
      <c r="V64" s="18">
        <f>IF(O64&lt;&gt;"",V63+O64,V63)</f>
        <v/>
      </c>
    </row>
    <row r="65">
      <c r="A65" s="19" t="n"/>
      <c r="B65" s="20" t="n"/>
      <c r="C65" s="19" t="n"/>
      <c r="D65" s="19" t="n"/>
      <c r="E65" s="19" t="n"/>
      <c r="F65" s="21" t="n"/>
      <c r="G65" s="21" t="n"/>
      <c r="H65" s="21" t="n"/>
      <c r="I65" s="22" t="n"/>
      <c r="J65" s="21">
        <f>IFERROR(IF(AND(F65&lt;&gt;"",G65&lt;&gt;"",I65&lt;&gt;""),ABS(F65-G65)*I65,""),"")</f>
        <v/>
      </c>
      <c r="K65" s="23">
        <f>IFERROR(IF(AND(F65&lt;&gt;"",G65&lt;&gt;"",H65&lt;&gt;""),ABS(H65-F65)/ABS(F65-G65),""),"")</f>
        <v/>
      </c>
      <c r="L65" s="20" t="n"/>
      <c r="M65" s="21" t="n"/>
      <c r="N65" s="21" t="n"/>
      <c r="O65" s="24">
        <f>IFERROR(IF(AND(M65&lt;&gt;"",F65&lt;&gt;"",I65&lt;&gt;""),IF(D65="Long",(M65-F65)*I65-IF(N65&lt;&gt;"",N65,0),IF(D65="Short",(F65-M65)*I65-IF(N65&lt;&gt;"",N65,0),"")),""),"")</f>
        <v/>
      </c>
      <c r="P65" s="25">
        <f>IFERROR(IF(AND(O65&lt;&gt;"",F65&lt;&gt;"",I65&lt;&gt;""),O65/(F65*I65),""),"")</f>
        <v/>
      </c>
      <c r="Q65" s="26">
        <f>IFERROR(IF(AND(O65&lt;&gt;"",J65&lt;&gt;"",J65&lt;&gt;0),O65/J65,""),"")</f>
        <v/>
      </c>
      <c r="R65" s="27">
        <f>IFERROR(IF(AND(L65&lt;&gt;"",B65&lt;&gt;""),L65-B65,""),"")</f>
        <v/>
      </c>
      <c r="S65" s="19" t="n"/>
      <c r="T65" s="19" t="n"/>
      <c r="U65" s="17">
        <f>IF(O65&lt;&gt;"",64,"")</f>
        <v/>
      </c>
      <c r="V65" s="18">
        <f>IF(O65&lt;&gt;"",V64+O65,V64)</f>
        <v/>
      </c>
    </row>
    <row r="66">
      <c r="A66" s="8" t="n"/>
      <c r="B66" s="9" t="n"/>
      <c r="C66" s="8" t="n"/>
      <c r="D66" s="8" t="n"/>
      <c r="E66" s="8" t="n"/>
      <c r="F66" s="10" t="n"/>
      <c r="G66" s="10" t="n"/>
      <c r="H66" s="10" t="n"/>
      <c r="I66" s="11" t="n"/>
      <c r="J66" s="10">
        <f>IFERROR(IF(AND(F66&lt;&gt;"",G66&lt;&gt;"",I66&lt;&gt;""),ABS(F66-G66)*I66,""),"")</f>
        <v/>
      </c>
      <c r="K66" s="12">
        <f>IFERROR(IF(AND(F66&lt;&gt;"",G66&lt;&gt;"",H66&lt;&gt;""),ABS(H66-F66)/ABS(F66-G66),""),"")</f>
        <v/>
      </c>
      <c r="L66" s="9" t="n"/>
      <c r="M66" s="10" t="n"/>
      <c r="N66" s="10" t="n"/>
      <c r="O66" s="13">
        <f>IFERROR(IF(AND(M66&lt;&gt;"",F66&lt;&gt;"",I66&lt;&gt;""),IF(D66="Long",(M66-F66)*I66-IF(N66&lt;&gt;"",N66,0),IF(D66="Short",(F66-M66)*I66-IF(N66&lt;&gt;"",N66,0),"")),""),"")</f>
        <v/>
      </c>
      <c r="P66" s="14">
        <f>IFERROR(IF(AND(O66&lt;&gt;"",F66&lt;&gt;"",I66&lt;&gt;""),O66/(F66*I66),""),"")</f>
        <v/>
      </c>
      <c r="Q66" s="15">
        <f>IFERROR(IF(AND(O66&lt;&gt;"",J66&lt;&gt;"",J66&lt;&gt;0),O66/J66,""),"")</f>
        <v/>
      </c>
      <c r="R66" s="16">
        <f>IFERROR(IF(AND(L66&lt;&gt;"",B66&lt;&gt;""),L66-B66,""),"")</f>
        <v/>
      </c>
      <c r="S66" s="8" t="n"/>
      <c r="T66" s="8" t="n"/>
      <c r="U66" s="17">
        <f>IF(O66&lt;&gt;"",65,"")</f>
        <v/>
      </c>
      <c r="V66" s="18">
        <f>IF(O66&lt;&gt;"",V65+O66,V65)</f>
        <v/>
      </c>
    </row>
    <row r="67">
      <c r="A67" s="19" t="n"/>
      <c r="B67" s="20" t="n"/>
      <c r="C67" s="19" t="n"/>
      <c r="D67" s="19" t="n"/>
      <c r="E67" s="19" t="n"/>
      <c r="F67" s="21" t="n"/>
      <c r="G67" s="21" t="n"/>
      <c r="H67" s="21" t="n"/>
      <c r="I67" s="22" t="n"/>
      <c r="J67" s="21">
        <f>IFERROR(IF(AND(F67&lt;&gt;"",G67&lt;&gt;"",I67&lt;&gt;""),ABS(F67-G67)*I67,""),"")</f>
        <v/>
      </c>
      <c r="K67" s="23">
        <f>IFERROR(IF(AND(F67&lt;&gt;"",G67&lt;&gt;"",H67&lt;&gt;""),ABS(H67-F67)/ABS(F67-G67),""),"")</f>
        <v/>
      </c>
      <c r="L67" s="20" t="n"/>
      <c r="M67" s="21" t="n"/>
      <c r="N67" s="21" t="n"/>
      <c r="O67" s="24">
        <f>IFERROR(IF(AND(M67&lt;&gt;"",F67&lt;&gt;"",I67&lt;&gt;""),IF(D67="Long",(M67-F67)*I67-IF(N67&lt;&gt;"",N67,0),IF(D67="Short",(F67-M67)*I67-IF(N67&lt;&gt;"",N67,0),"")),""),"")</f>
        <v/>
      </c>
      <c r="P67" s="25">
        <f>IFERROR(IF(AND(O67&lt;&gt;"",F67&lt;&gt;"",I67&lt;&gt;""),O67/(F67*I67),""),"")</f>
        <v/>
      </c>
      <c r="Q67" s="26">
        <f>IFERROR(IF(AND(O67&lt;&gt;"",J67&lt;&gt;"",J67&lt;&gt;0),O67/J67,""),"")</f>
        <v/>
      </c>
      <c r="R67" s="27">
        <f>IFERROR(IF(AND(L67&lt;&gt;"",B67&lt;&gt;""),L67-B67,""),"")</f>
        <v/>
      </c>
      <c r="S67" s="19" t="n"/>
      <c r="T67" s="19" t="n"/>
      <c r="U67" s="17">
        <f>IF(O67&lt;&gt;"",66,"")</f>
        <v/>
      </c>
      <c r="V67" s="18">
        <f>IF(O67&lt;&gt;"",V66+O67,V66)</f>
        <v/>
      </c>
    </row>
    <row r="68">
      <c r="A68" s="8" t="n"/>
      <c r="B68" s="9" t="n"/>
      <c r="C68" s="8" t="n"/>
      <c r="D68" s="8" t="n"/>
      <c r="E68" s="8" t="n"/>
      <c r="F68" s="10" t="n"/>
      <c r="G68" s="10" t="n"/>
      <c r="H68" s="10" t="n"/>
      <c r="I68" s="11" t="n"/>
      <c r="J68" s="10">
        <f>IFERROR(IF(AND(F68&lt;&gt;"",G68&lt;&gt;"",I68&lt;&gt;""),ABS(F68-G68)*I68,""),"")</f>
        <v/>
      </c>
      <c r="K68" s="12">
        <f>IFERROR(IF(AND(F68&lt;&gt;"",G68&lt;&gt;"",H68&lt;&gt;""),ABS(H68-F68)/ABS(F68-G68),""),"")</f>
        <v/>
      </c>
      <c r="L68" s="9" t="n"/>
      <c r="M68" s="10" t="n"/>
      <c r="N68" s="10" t="n"/>
      <c r="O68" s="13">
        <f>IFERROR(IF(AND(M68&lt;&gt;"",F68&lt;&gt;"",I68&lt;&gt;""),IF(D68="Long",(M68-F68)*I68-IF(N68&lt;&gt;"",N68,0),IF(D68="Short",(F68-M68)*I68-IF(N68&lt;&gt;"",N68,0),"")),""),"")</f>
        <v/>
      </c>
      <c r="P68" s="14">
        <f>IFERROR(IF(AND(O68&lt;&gt;"",F68&lt;&gt;"",I68&lt;&gt;""),O68/(F68*I68),""),"")</f>
        <v/>
      </c>
      <c r="Q68" s="15">
        <f>IFERROR(IF(AND(O68&lt;&gt;"",J68&lt;&gt;"",J68&lt;&gt;0),O68/J68,""),"")</f>
        <v/>
      </c>
      <c r="R68" s="16">
        <f>IFERROR(IF(AND(L68&lt;&gt;"",B68&lt;&gt;""),L68-B68,""),"")</f>
        <v/>
      </c>
      <c r="S68" s="8" t="n"/>
      <c r="T68" s="8" t="n"/>
      <c r="U68" s="17">
        <f>IF(O68&lt;&gt;"",67,"")</f>
        <v/>
      </c>
      <c r="V68" s="18">
        <f>IF(O68&lt;&gt;"",V67+O68,V67)</f>
        <v/>
      </c>
    </row>
    <row r="69">
      <c r="A69" s="19" t="n"/>
      <c r="B69" s="20" t="n"/>
      <c r="C69" s="19" t="n"/>
      <c r="D69" s="19" t="n"/>
      <c r="E69" s="19" t="n"/>
      <c r="F69" s="21" t="n"/>
      <c r="G69" s="21" t="n"/>
      <c r="H69" s="21" t="n"/>
      <c r="I69" s="22" t="n"/>
      <c r="J69" s="21">
        <f>IFERROR(IF(AND(F69&lt;&gt;"",G69&lt;&gt;"",I69&lt;&gt;""),ABS(F69-G69)*I69,""),"")</f>
        <v/>
      </c>
      <c r="K69" s="23">
        <f>IFERROR(IF(AND(F69&lt;&gt;"",G69&lt;&gt;"",H69&lt;&gt;""),ABS(H69-F69)/ABS(F69-G69),""),"")</f>
        <v/>
      </c>
      <c r="L69" s="20" t="n"/>
      <c r="M69" s="21" t="n"/>
      <c r="N69" s="21" t="n"/>
      <c r="O69" s="24">
        <f>IFERROR(IF(AND(M69&lt;&gt;"",F69&lt;&gt;"",I69&lt;&gt;""),IF(D69="Long",(M69-F69)*I69-IF(N69&lt;&gt;"",N69,0),IF(D69="Short",(F69-M69)*I69-IF(N69&lt;&gt;"",N69,0),"")),""),"")</f>
        <v/>
      </c>
      <c r="P69" s="25">
        <f>IFERROR(IF(AND(O69&lt;&gt;"",F69&lt;&gt;"",I69&lt;&gt;""),O69/(F69*I69),""),"")</f>
        <v/>
      </c>
      <c r="Q69" s="26">
        <f>IFERROR(IF(AND(O69&lt;&gt;"",J69&lt;&gt;"",J69&lt;&gt;0),O69/J69,""),"")</f>
        <v/>
      </c>
      <c r="R69" s="27">
        <f>IFERROR(IF(AND(L69&lt;&gt;"",B69&lt;&gt;""),L69-B69,""),"")</f>
        <v/>
      </c>
      <c r="S69" s="19" t="n"/>
      <c r="T69" s="19" t="n"/>
      <c r="U69" s="17">
        <f>IF(O69&lt;&gt;"",68,"")</f>
        <v/>
      </c>
      <c r="V69" s="18">
        <f>IF(O69&lt;&gt;"",V68+O69,V68)</f>
        <v/>
      </c>
    </row>
    <row r="70">
      <c r="A70" s="8" t="n"/>
      <c r="B70" s="9" t="n"/>
      <c r="C70" s="8" t="n"/>
      <c r="D70" s="8" t="n"/>
      <c r="E70" s="8" t="n"/>
      <c r="F70" s="10" t="n"/>
      <c r="G70" s="10" t="n"/>
      <c r="H70" s="10" t="n"/>
      <c r="I70" s="11" t="n"/>
      <c r="J70" s="10">
        <f>IFERROR(IF(AND(F70&lt;&gt;"",G70&lt;&gt;"",I70&lt;&gt;""),ABS(F70-G70)*I70,""),"")</f>
        <v/>
      </c>
      <c r="K70" s="12">
        <f>IFERROR(IF(AND(F70&lt;&gt;"",G70&lt;&gt;"",H70&lt;&gt;""),ABS(H70-F70)/ABS(F70-G70),""),"")</f>
        <v/>
      </c>
      <c r="L70" s="9" t="n"/>
      <c r="M70" s="10" t="n"/>
      <c r="N70" s="10" t="n"/>
      <c r="O70" s="13">
        <f>IFERROR(IF(AND(M70&lt;&gt;"",F70&lt;&gt;"",I70&lt;&gt;""),IF(D70="Long",(M70-F70)*I70-IF(N70&lt;&gt;"",N70,0),IF(D70="Short",(F70-M70)*I70-IF(N70&lt;&gt;"",N70,0),"")),""),"")</f>
        <v/>
      </c>
      <c r="P70" s="14">
        <f>IFERROR(IF(AND(O70&lt;&gt;"",F70&lt;&gt;"",I70&lt;&gt;""),O70/(F70*I70),""),"")</f>
        <v/>
      </c>
      <c r="Q70" s="15">
        <f>IFERROR(IF(AND(O70&lt;&gt;"",J70&lt;&gt;"",J70&lt;&gt;0),O70/J70,""),"")</f>
        <v/>
      </c>
      <c r="R70" s="16">
        <f>IFERROR(IF(AND(L70&lt;&gt;"",B70&lt;&gt;""),L70-B70,""),"")</f>
        <v/>
      </c>
      <c r="S70" s="8" t="n"/>
      <c r="T70" s="8" t="n"/>
      <c r="U70" s="17">
        <f>IF(O70&lt;&gt;"",69,"")</f>
        <v/>
      </c>
      <c r="V70" s="18">
        <f>IF(O70&lt;&gt;"",V69+O70,V69)</f>
        <v/>
      </c>
    </row>
    <row r="71">
      <c r="A71" s="19" t="n"/>
      <c r="B71" s="20" t="n"/>
      <c r="C71" s="19" t="n"/>
      <c r="D71" s="19" t="n"/>
      <c r="E71" s="19" t="n"/>
      <c r="F71" s="21" t="n"/>
      <c r="G71" s="21" t="n"/>
      <c r="H71" s="21" t="n"/>
      <c r="I71" s="22" t="n"/>
      <c r="J71" s="21">
        <f>IFERROR(IF(AND(F71&lt;&gt;"",G71&lt;&gt;"",I71&lt;&gt;""),ABS(F71-G71)*I71,""),"")</f>
        <v/>
      </c>
      <c r="K71" s="23">
        <f>IFERROR(IF(AND(F71&lt;&gt;"",G71&lt;&gt;"",H71&lt;&gt;""),ABS(H71-F71)/ABS(F71-G71),""),"")</f>
        <v/>
      </c>
      <c r="L71" s="20" t="n"/>
      <c r="M71" s="21" t="n"/>
      <c r="N71" s="21" t="n"/>
      <c r="O71" s="24">
        <f>IFERROR(IF(AND(M71&lt;&gt;"",F71&lt;&gt;"",I71&lt;&gt;""),IF(D71="Long",(M71-F71)*I71-IF(N71&lt;&gt;"",N71,0),IF(D71="Short",(F71-M71)*I71-IF(N71&lt;&gt;"",N71,0),"")),""),"")</f>
        <v/>
      </c>
      <c r="P71" s="25">
        <f>IFERROR(IF(AND(O71&lt;&gt;"",F71&lt;&gt;"",I71&lt;&gt;""),O71/(F71*I71),""),"")</f>
        <v/>
      </c>
      <c r="Q71" s="26">
        <f>IFERROR(IF(AND(O71&lt;&gt;"",J71&lt;&gt;"",J71&lt;&gt;0),O71/J71,""),"")</f>
        <v/>
      </c>
      <c r="R71" s="27">
        <f>IFERROR(IF(AND(L71&lt;&gt;"",B71&lt;&gt;""),L71-B71,""),"")</f>
        <v/>
      </c>
      <c r="S71" s="19" t="n"/>
      <c r="T71" s="19" t="n"/>
      <c r="U71" s="17">
        <f>IF(O71&lt;&gt;"",70,"")</f>
        <v/>
      </c>
      <c r="V71" s="18">
        <f>IF(O71&lt;&gt;"",V70+O71,V70)</f>
        <v/>
      </c>
    </row>
    <row r="72">
      <c r="A72" s="8" t="n"/>
      <c r="B72" s="9" t="n"/>
      <c r="C72" s="8" t="n"/>
      <c r="D72" s="8" t="n"/>
      <c r="E72" s="8" t="n"/>
      <c r="F72" s="10" t="n"/>
      <c r="G72" s="10" t="n"/>
      <c r="H72" s="10" t="n"/>
      <c r="I72" s="11" t="n"/>
      <c r="J72" s="10">
        <f>IFERROR(IF(AND(F72&lt;&gt;"",G72&lt;&gt;"",I72&lt;&gt;""),ABS(F72-G72)*I72,""),"")</f>
        <v/>
      </c>
      <c r="K72" s="12">
        <f>IFERROR(IF(AND(F72&lt;&gt;"",G72&lt;&gt;"",H72&lt;&gt;""),ABS(H72-F72)/ABS(F72-G72),""),"")</f>
        <v/>
      </c>
      <c r="L72" s="9" t="n"/>
      <c r="M72" s="10" t="n"/>
      <c r="N72" s="10" t="n"/>
      <c r="O72" s="13">
        <f>IFERROR(IF(AND(M72&lt;&gt;"",F72&lt;&gt;"",I72&lt;&gt;""),IF(D72="Long",(M72-F72)*I72-IF(N72&lt;&gt;"",N72,0),IF(D72="Short",(F72-M72)*I72-IF(N72&lt;&gt;"",N72,0),"")),""),"")</f>
        <v/>
      </c>
      <c r="P72" s="14">
        <f>IFERROR(IF(AND(O72&lt;&gt;"",F72&lt;&gt;"",I72&lt;&gt;""),O72/(F72*I72),""),"")</f>
        <v/>
      </c>
      <c r="Q72" s="15">
        <f>IFERROR(IF(AND(O72&lt;&gt;"",J72&lt;&gt;"",J72&lt;&gt;0),O72/J72,""),"")</f>
        <v/>
      </c>
      <c r="R72" s="16">
        <f>IFERROR(IF(AND(L72&lt;&gt;"",B72&lt;&gt;""),L72-B72,""),"")</f>
        <v/>
      </c>
      <c r="S72" s="8" t="n"/>
      <c r="T72" s="8" t="n"/>
      <c r="U72" s="17">
        <f>IF(O72&lt;&gt;"",71,"")</f>
        <v/>
      </c>
      <c r="V72" s="18">
        <f>IF(O72&lt;&gt;"",V71+O72,V71)</f>
        <v/>
      </c>
    </row>
    <row r="73">
      <c r="A73" s="19" t="n"/>
      <c r="B73" s="20" t="n"/>
      <c r="C73" s="19" t="n"/>
      <c r="D73" s="19" t="n"/>
      <c r="E73" s="19" t="n"/>
      <c r="F73" s="21" t="n"/>
      <c r="G73" s="21" t="n"/>
      <c r="H73" s="21" t="n"/>
      <c r="I73" s="22" t="n"/>
      <c r="J73" s="21">
        <f>IFERROR(IF(AND(F73&lt;&gt;"",G73&lt;&gt;"",I73&lt;&gt;""),ABS(F73-G73)*I73,""),"")</f>
        <v/>
      </c>
      <c r="K73" s="23">
        <f>IFERROR(IF(AND(F73&lt;&gt;"",G73&lt;&gt;"",H73&lt;&gt;""),ABS(H73-F73)/ABS(F73-G73),""),"")</f>
        <v/>
      </c>
      <c r="L73" s="20" t="n"/>
      <c r="M73" s="21" t="n"/>
      <c r="N73" s="21" t="n"/>
      <c r="O73" s="24">
        <f>IFERROR(IF(AND(M73&lt;&gt;"",F73&lt;&gt;"",I73&lt;&gt;""),IF(D73="Long",(M73-F73)*I73-IF(N73&lt;&gt;"",N73,0),IF(D73="Short",(F73-M73)*I73-IF(N73&lt;&gt;"",N73,0),"")),""),"")</f>
        <v/>
      </c>
      <c r="P73" s="25">
        <f>IFERROR(IF(AND(O73&lt;&gt;"",F73&lt;&gt;"",I73&lt;&gt;""),O73/(F73*I73),""),"")</f>
        <v/>
      </c>
      <c r="Q73" s="26">
        <f>IFERROR(IF(AND(O73&lt;&gt;"",J73&lt;&gt;"",J73&lt;&gt;0),O73/J73,""),"")</f>
        <v/>
      </c>
      <c r="R73" s="27">
        <f>IFERROR(IF(AND(L73&lt;&gt;"",B73&lt;&gt;""),L73-B73,""),"")</f>
        <v/>
      </c>
      <c r="S73" s="19" t="n"/>
      <c r="T73" s="19" t="n"/>
      <c r="U73" s="17">
        <f>IF(O73&lt;&gt;"",72,"")</f>
        <v/>
      </c>
      <c r="V73" s="18">
        <f>IF(O73&lt;&gt;"",V72+O73,V72)</f>
        <v/>
      </c>
    </row>
    <row r="74">
      <c r="A74" s="8" t="n"/>
      <c r="B74" s="9" t="n"/>
      <c r="C74" s="8" t="n"/>
      <c r="D74" s="8" t="n"/>
      <c r="E74" s="8" t="n"/>
      <c r="F74" s="10" t="n"/>
      <c r="G74" s="10" t="n"/>
      <c r="H74" s="10" t="n"/>
      <c r="I74" s="11" t="n"/>
      <c r="J74" s="10">
        <f>IFERROR(IF(AND(F74&lt;&gt;"",G74&lt;&gt;"",I74&lt;&gt;""),ABS(F74-G74)*I74,""),"")</f>
        <v/>
      </c>
      <c r="K74" s="12">
        <f>IFERROR(IF(AND(F74&lt;&gt;"",G74&lt;&gt;"",H74&lt;&gt;""),ABS(H74-F74)/ABS(F74-G74),""),"")</f>
        <v/>
      </c>
      <c r="L74" s="9" t="n"/>
      <c r="M74" s="10" t="n"/>
      <c r="N74" s="10" t="n"/>
      <c r="O74" s="13">
        <f>IFERROR(IF(AND(M74&lt;&gt;"",F74&lt;&gt;"",I74&lt;&gt;""),IF(D74="Long",(M74-F74)*I74-IF(N74&lt;&gt;"",N74,0),IF(D74="Short",(F74-M74)*I74-IF(N74&lt;&gt;"",N74,0),"")),""),"")</f>
        <v/>
      </c>
      <c r="P74" s="14">
        <f>IFERROR(IF(AND(O74&lt;&gt;"",F74&lt;&gt;"",I74&lt;&gt;""),O74/(F74*I74),""),"")</f>
        <v/>
      </c>
      <c r="Q74" s="15">
        <f>IFERROR(IF(AND(O74&lt;&gt;"",J74&lt;&gt;"",J74&lt;&gt;0),O74/J74,""),"")</f>
        <v/>
      </c>
      <c r="R74" s="16">
        <f>IFERROR(IF(AND(L74&lt;&gt;"",B74&lt;&gt;""),L74-B74,""),"")</f>
        <v/>
      </c>
      <c r="S74" s="8" t="n"/>
      <c r="T74" s="8" t="n"/>
      <c r="U74" s="17">
        <f>IF(O74&lt;&gt;"",73,"")</f>
        <v/>
      </c>
      <c r="V74" s="18">
        <f>IF(O74&lt;&gt;"",V73+O74,V73)</f>
        <v/>
      </c>
    </row>
    <row r="75">
      <c r="A75" s="19" t="n"/>
      <c r="B75" s="20" t="n"/>
      <c r="C75" s="19" t="n"/>
      <c r="D75" s="19" t="n"/>
      <c r="E75" s="19" t="n"/>
      <c r="F75" s="21" t="n"/>
      <c r="G75" s="21" t="n"/>
      <c r="H75" s="21" t="n"/>
      <c r="I75" s="22" t="n"/>
      <c r="J75" s="21">
        <f>IFERROR(IF(AND(F75&lt;&gt;"",G75&lt;&gt;"",I75&lt;&gt;""),ABS(F75-G75)*I75,""),"")</f>
        <v/>
      </c>
      <c r="K75" s="23">
        <f>IFERROR(IF(AND(F75&lt;&gt;"",G75&lt;&gt;"",H75&lt;&gt;""),ABS(H75-F75)/ABS(F75-G75),""),"")</f>
        <v/>
      </c>
      <c r="L75" s="20" t="n"/>
      <c r="M75" s="21" t="n"/>
      <c r="N75" s="21" t="n"/>
      <c r="O75" s="24">
        <f>IFERROR(IF(AND(M75&lt;&gt;"",F75&lt;&gt;"",I75&lt;&gt;""),IF(D75="Long",(M75-F75)*I75-IF(N75&lt;&gt;"",N75,0),IF(D75="Short",(F75-M75)*I75-IF(N75&lt;&gt;"",N75,0),"")),""),"")</f>
        <v/>
      </c>
      <c r="P75" s="25">
        <f>IFERROR(IF(AND(O75&lt;&gt;"",F75&lt;&gt;"",I75&lt;&gt;""),O75/(F75*I75),""),"")</f>
        <v/>
      </c>
      <c r="Q75" s="26">
        <f>IFERROR(IF(AND(O75&lt;&gt;"",J75&lt;&gt;"",J75&lt;&gt;0),O75/J75,""),"")</f>
        <v/>
      </c>
      <c r="R75" s="27">
        <f>IFERROR(IF(AND(L75&lt;&gt;"",B75&lt;&gt;""),L75-B75,""),"")</f>
        <v/>
      </c>
      <c r="S75" s="19" t="n"/>
      <c r="T75" s="19" t="n"/>
      <c r="U75" s="17">
        <f>IF(O75&lt;&gt;"",74,"")</f>
        <v/>
      </c>
      <c r="V75" s="18">
        <f>IF(O75&lt;&gt;"",V74+O75,V74)</f>
        <v/>
      </c>
    </row>
    <row r="76">
      <c r="A76" s="8" t="n"/>
      <c r="B76" s="9" t="n"/>
      <c r="C76" s="8" t="n"/>
      <c r="D76" s="8" t="n"/>
      <c r="E76" s="8" t="n"/>
      <c r="F76" s="10" t="n"/>
      <c r="G76" s="10" t="n"/>
      <c r="H76" s="10" t="n"/>
      <c r="I76" s="11" t="n"/>
      <c r="J76" s="10">
        <f>IFERROR(IF(AND(F76&lt;&gt;"",G76&lt;&gt;"",I76&lt;&gt;""),ABS(F76-G76)*I76,""),"")</f>
        <v/>
      </c>
      <c r="K76" s="12">
        <f>IFERROR(IF(AND(F76&lt;&gt;"",G76&lt;&gt;"",H76&lt;&gt;""),ABS(H76-F76)/ABS(F76-G76),""),"")</f>
        <v/>
      </c>
      <c r="L76" s="9" t="n"/>
      <c r="M76" s="10" t="n"/>
      <c r="N76" s="10" t="n"/>
      <c r="O76" s="13">
        <f>IFERROR(IF(AND(M76&lt;&gt;"",F76&lt;&gt;"",I76&lt;&gt;""),IF(D76="Long",(M76-F76)*I76-IF(N76&lt;&gt;"",N76,0),IF(D76="Short",(F76-M76)*I76-IF(N76&lt;&gt;"",N76,0),"")),""),"")</f>
        <v/>
      </c>
      <c r="P76" s="14">
        <f>IFERROR(IF(AND(O76&lt;&gt;"",F76&lt;&gt;"",I76&lt;&gt;""),O76/(F76*I76),""),"")</f>
        <v/>
      </c>
      <c r="Q76" s="15">
        <f>IFERROR(IF(AND(O76&lt;&gt;"",J76&lt;&gt;"",J76&lt;&gt;0),O76/J76,""),"")</f>
        <v/>
      </c>
      <c r="R76" s="16">
        <f>IFERROR(IF(AND(L76&lt;&gt;"",B76&lt;&gt;""),L76-B76,""),"")</f>
        <v/>
      </c>
      <c r="S76" s="8" t="n"/>
      <c r="T76" s="8" t="n"/>
      <c r="U76" s="17">
        <f>IF(O76&lt;&gt;"",75,"")</f>
        <v/>
      </c>
      <c r="V76" s="18">
        <f>IF(O76&lt;&gt;"",V75+O76,V75)</f>
        <v/>
      </c>
    </row>
    <row r="77">
      <c r="A77" s="19" t="n"/>
      <c r="B77" s="20" t="n"/>
      <c r="C77" s="19" t="n"/>
      <c r="D77" s="19" t="n"/>
      <c r="E77" s="19" t="n"/>
      <c r="F77" s="21" t="n"/>
      <c r="G77" s="21" t="n"/>
      <c r="H77" s="21" t="n"/>
      <c r="I77" s="22" t="n"/>
      <c r="J77" s="21">
        <f>IFERROR(IF(AND(F77&lt;&gt;"",G77&lt;&gt;"",I77&lt;&gt;""),ABS(F77-G77)*I77,""),"")</f>
        <v/>
      </c>
      <c r="K77" s="23">
        <f>IFERROR(IF(AND(F77&lt;&gt;"",G77&lt;&gt;"",H77&lt;&gt;""),ABS(H77-F77)/ABS(F77-G77),""),"")</f>
        <v/>
      </c>
      <c r="L77" s="20" t="n"/>
      <c r="M77" s="21" t="n"/>
      <c r="N77" s="21" t="n"/>
      <c r="O77" s="24">
        <f>IFERROR(IF(AND(M77&lt;&gt;"",F77&lt;&gt;"",I77&lt;&gt;""),IF(D77="Long",(M77-F77)*I77-IF(N77&lt;&gt;"",N77,0),IF(D77="Short",(F77-M77)*I77-IF(N77&lt;&gt;"",N77,0),"")),""),"")</f>
        <v/>
      </c>
      <c r="P77" s="25">
        <f>IFERROR(IF(AND(O77&lt;&gt;"",F77&lt;&gt;"",I77&lt;&gt;""),O77/(F77*I77),""),"")</f>
        <v/>
      </c>
      <c r="Q77" s="26">
        <f>IFERROR(IF(AND(O77&lt;&gt;"",J77&lt;&gt;"",J77&lt;&gt;0),O77/J77,""),"")</f>
        <v/>
      </c>
      <c r="R77" s="27">
        <f>IFERROR(IF(AND(L77&lt;&gt;"",B77&lt;&gt;""),L77-B77,""),"")</f>
        <v/>
      </c>
      <c r="S77" s="19" t="n"/>
      <c r="T77" s="19" t="n"/>
      <c r="U77" s="17">
        <f>IF(O77&lt;&gt;"",76,"")</f>
        <v/>
      </c>
      <c r="V77" s="18">
        <f>IF(O77&lt;&gt;"",V76+O77,V76)</f>
        <v/>
      </c>
    </row>
    <row r="78">
      <c r="A78" s="8" t="n"/>
      <c r="B78" s="9" t="n"/>
      <c r="C78" s="8" t="n"/>
      <c r="D78" s="8" t="n"/>
      <c r="E78" s="8" t="n"/>
      <c r="F78" s="10" t="n"/>
      <c r="G78" s="10" t="n"/>
      <c r="H78" s="10" t="n"/>
      <c r="I78" s="11" t="n"/>
      <c r="J78" s="10">
        <f>IFERROR(IF(AND(F78&lt;&gt;"",G78&lt;&gt;"",I78&lt;&gt;""),ABS(F78-G78)*I78,""),"")</f>
        <v/>
      </c>
      <c r="K78" s="12">
        <f>IFERROR(IF(AND(F78&lt;&gt;"",G78&lt;&gt;"",H78&lt;&gt;""),ABS(H78-F78)/ABS(F78-G78),""),"")</f>
        <v/>
      </c>
      <c r="L78" s="9" t="n"/>
      <c r="M78" s="10" t="n"/>
      <c r="N78" s="10" t="n"/>
      <c r="O78" s="13">
        <f>IFERROR(IF(AND(M78&lt;&gt;"",F78&lt;&gt;"",I78&lt;&gt;""),IF(D78="Long",(M78-F78)*I78-IF(N78&lt;&gt;"",N78,0),IF(D78="Short",(F78-M78)*I78-IF(N78&lt;&gt;"",N78,0),"")),""),"")</f>
        <v/>
      </c>
      <c r="P78" s="14">
        <f>IFERROR(IF(AND(O78&lt;&gt;"",F78&lt;&gt;"",I78&lt;&gt;""),O78/(F78*I78),""),"")</f>
        <v/>
      </c>
      <c r="Q78" s="15">
        <f>IFERROR(IF(AND(O78&lt;&gt;"",J78&lt;&gt;"",J78&lt;&gt;0),O78/J78,""),"")</f>
        <v/>
      </c>
      <c r="R78" s="16">
        <f>IFERROR(IF(AND(L78&lt;&gt;"",B78&lt;&gt;""),L78-B78,""),"")</f>
        <v/>
      </c>
      <c r="S78" s="8" t="n"/>
      <c r="T78" s="8" t="n"/>
      <c r="U78" s="17">
        <f>IF(O78&lt;&gt;"",77,"")</f>
        <v/>
      </c>
      <c r="V78" s="18">
        <f>IF(O78&lt;&gt;"",V77+O78,V77)</f>
        <v/>
      </c>
    </row>
    <row r="79">
      <c r="A79" s="19" t="n"/>
      <c r="B79" s="20" t="n"/>
      <c r="C79" s="19" t="n"/>
      <c r="D79" s="19" t="n"/>
      <c r="E79" s="19" t="n"/>
      <c r="F79" s="21" t="n"/>
      <c r="G79" s="21" t="n"/>
      <c r="H79" s="21" t="n"/>
      <c r="I79" s="22" t="n"/>
      <c r="J79" s="21">
        <f>IFERROR(IF(AND(F79&lt;&gt;"",G79&lt;&gt;"",I79&lt;&gt;""),ABS(F79-G79)*I79,""),"")</f>
        <v/>
      </c>
      <c r="K79" s="23">
        <f>IFERROR(IF(AND(F79&lt;&gt;"",G79&lt;&gt;"",H79&lt;&gt;""),ABS(H79-F79)/ABS(F79-G79),""),"")</f>
        <v/>
      </c>
      <c r="L79" s="20" t="n"/>
      <c r="M79" s="21" t="n"/>
      <c r="N79" s="21" t="n"/>
      <c r="O79" s="24">
        <f>IFERROR(IF(AND(M79&lt;&gt;"",F79&lt;&gt;"",I79&lt;&gt;""),IF(D79="Long",(M79-F79)*I79-IF(N79&lt;&gt;"",N79,0),IF(D79="Short",(F79-M79)*I79-IF(N79&lt;&gt;"",N79,0),"")),""),"")</f>
        <v/>
      </c>
      <c r="P79" s="25">
        <f>IFERROR(IF(AND(O79&lt;&gt;"",F79&lt;&gt;"",I79&lt;&gt;""),O79/(F79*I79),""),"")</f>
        <v/>
      </c>
      <c r="Q79" s="26">
        <f>IFERROR(IF(AND(O79&lt;&gt;"",J79&lt;&gt;"",J79&lt;&gt;0),O79/J79,""),"")</f>
        <v/>
      </c>
      <c r="R79" s="27">
        <f>IFERROR(IF(AND(L79&lt;&gt;"",B79&lt;&gt;""),L79-B79,""),"")</f>
        <v/>
      </c>
      <c r="S79" s="19" t="n"/>
      <c r="T79" s="19" t="n"/>
      <c r="U79" s="17">
        <f>IF(O79&lt;&gt;"",78,"")</f>
        <v/>
      </c>
      <c r="V79" s="18">
        <f>IF(O79&lt;&gt;"",V78+O79,V78)</f>
        <v/>
      </c>
    </row>
    <row r="80">
      <c r="A80" s="8" t="n"/>
      <c r="B80" s="9" t="n"/>
      <c r="C80" s="8" t="n"/>
      <c r="D80" s="8" t="n"/>
      <c r="E80" s="8" t="n"/>
      <c r="F80" s="10" t="n"/>
      <c r="G80" s="10" t="n"/>
      <c r="H80" s="10" t="n"/>
      <c r="I80" s="11" t="n"/>
      <c r="J80" s="10">
        <f>IFERROR(IF(AND(F80&lt;&gt;"",G80&lt;&gt;"",I80&lt;&gt;""),ABS(F80-G80)*I80,""),"")</f>
        <v/>
      </c>
      <c r="K80" s="12">
        <f>IFERROR(IF(AND(F80&lt;&gt;"",G80&lt;&gt;"",H80&lt;&gt;""),ABS(H80-F80)/ABS(F80-G80),""),"")</f>
        <v/>
      </c>
      <c r="L80" s="9" t="n"/>
      <c r="M80" s="10" t="n"/>
      <c r="N80" s="10" t="n"/>
      <c r="O80" s="13">
        <f>IFERROR(IF(AND(M80&lt;&gt;"",F80&lt;&gt;"",I80&lt;&gt;""),IF(D80="Long",(M80-F80)*I80-IF(N80&lt;&gt;"",N80,0),IF(D80="Short",(F80-M80)*I80-IF(N80&lt;&gt;"",N80,0),"")),""),"")</f>
        <v/>
      </c>
      <c r="P80" s="14">
        <f>IFERROR(IF(AND(O80&lt;&gt;"",F80&lt;&gt;"",I80&lt;&gt;""),O80/(F80*I80),""),"")</f>
        <v/>
      </c>
      <c r="Q80" s="15">
        <f>IFERROR(IF(AND(O80&lt;&gt;"",J80&lt;&gt;"",J80&lt;&gt;0),O80/J80,""),"")</f>
        <v/>
      </c>
      <c r="R80" s="16">
        <f>IFERROR(IF(AND(L80&lt;&gt;"",B80&lt;&gt;""),L80-B80,""),"")</f>
        <v/>
      </c>
      <c r="S80" s="8" t="n"/>
      <c r="T80" s="8" t="n"/>
      <c r="U80" s="17">
        <f>IF(O80&lt;&gt;"",79,"")</f>
        <v/>
      </c>
      <c r="V80" s="18">
        <f>IF(O80&lt;&gt;"",V79+O80,V79)</f>
        <v/>
      </c>
    </row>
    <row r="81">
      <c r="A81" s="19" t="n"/>
      <c r="B81" s="20" t="n"/>
      <c r="C81" s="19" t="n"/>
      <c r="D81" s="19" t="n"/>
      <c r="E81" s="19" t="n"/>
      <c r="F81" s="21" t="n"/>
      <c r="G81" s="21" t="n"/>
      <c r="H81" s="21" t="n"/>
      <c r="I81" s="22" t="n"/>
      <c r="J81" s="21">
        <f>IFERROR(IF(AND(F81&lt;&gt;"",G81&lt;&gt;"",I81&lt;&gt;""),ABS(F81-G81)*I81,""),"")</f>
        <v/>
      </c>
      <c r="K81" s="23">
        <f>IFERROR(IF(AND(F81&lt;&gt;"",G81&lt;&gt;"",H81&lt;&gt;""),ABS(H81-F81)/ABS(F81-G81),""),"")</f>
        <v/>
      </c>
      <c r="L81" s="20" t="n"/>
      <c r="M81" s="21" t="n"/>
      <c r="N81" s="21" t="n"/>
      <c r="O81" s="24">
        <f>IFERROR(IF(AND(M81&lt;&gt;"",F81&lt;&gt;"",I81&lt;&gt;""),IF(D81="Long",(M81-F81)*I81-IF(N81&lt;&gt;"",N81,0),IF(D81="Short",(F81-M81)*I81-IF(N81&lt;&gt;"",N81,0),"")),""),"")</f>
        <v/>
      </c>
      <c r="P81" s="25">
        <f>IFERROR(IF(AND(O81&lt;&gt;"",F81&lt;&gt;"",I81&lt;&gt;""),O81/(F81*I81),""),"")</f>
        <v/>
      </c>
      <c r="Q81" s="26">
        <f>IFERROR(IF(AND(O81&lt;&gt;"",J81&lt;&gt;"",J81&lt;&gt;0),O81/J81,""),"")</f>
        <v/>
      </c>
      <c r="R81" s="27">
        <f>IFERROR(IF(AND(L81&lt;&gt;"",B81&lt;&gt;""),L81-B81,""),"")</f>
        <v/>
      </c>
      <c r="S81" s="19" t="n"/>
      <c r="T81" s="19" t="n"/>
      <c r="U81" s="17">
        <f>IF(O81&lt;&gt;"",80,"")</f>
        <v/>
      </c>
      <c r="V81" s="18">
        <f>IF(O81&lt;&gt;"",V80+O81,V80)</f>
        <v/>
      </c>
    </row>
    <row r="82">
      <c r="A82" s="8" t="n"/>
      <c r="B82" s="9" t="n"/>
      <c r="C82" s="8" t="n"/>
      <c r="D82" s="8" t="n"/>
      <c r="E82" s="8" t="n"/>
      <c r="F82" s="10" t="n"/>
      <c r="G82" s="10" t="n"/>
      <c r="H82" s="10" t="n"/>
      <c r="I82" s="11" t="n"/>
      <c r="J82" s="10">
        <f>IFERROR(IF(AND(F82&lt;&gt;"",G82&lt;&gt;"",I82&lt;&gt;""),ABS(F82-G82)*I82,""),"")</f>
        <v/>
      </c>
      <c r="K82" s="12">
        <f>IFERROR(IF(AND(F82&lt;&gt;"",G82&lt;&gt;"",H82&lt;&gt;""),ABS(H82-F82)/ABS(F82-G82),""),"")</f>
        <v/>
      </c>
      <c r="L82" s="9" t="n"/>
      <c r="M82" s="10" t="n"/>
      <c r="N82" s="10" t="n"/>
      <c r="O82" s="13">
        <f>IFERROR(IF(AND(M82&lt;&gt;"",F82&lt;&gt;"",I82&lt;&gt;""),IF(D82="Long",(M82-F82)*I82-IF(N82&lt;&gt;"",N82,0),IF(D82="Short",(F82-M82)*I82-IF(N82&lt;&gt;"",N82,0),"")),""),"")</f>
        <v/>
      </c>
      <c r="P82" s="14">
        <f>IFERROR(IF(AND(O82&lt;&gt;"",F82&lt;&gt;"",I82&lt;&gt;""),O82/(F82*I82),""),"")</f>
        <v/>
      </c>
      <c r="Q82" s="15">
        <f>IFERROR(IF(AND(O82&lt;&gt;"",J82&lt;&gt;"",J82&lt;&gt;0),O82/J82,""),"")</f>
        <v/>
      </c>
      <c r="R82" s="16">
        <f>IFERROR(IF(AND(L82&lt;&gt;"",B82&lt;&gt;""),L82-B82,""),"")</f>
        <v/>
      </c>
      <c r="S82" s="8" t="n"/>
      <c r="T82" s="8" t="n"/>
      <c r="U82" s="17">
        <f>IF(O82&lt;&gt;"",81,"")</f>
        <v/>
      </c>
      <c r="V82" s="18">
        <f>IF(O82&lt;&gt;"",V81+O82,V81)</f>
        <v/>
      </c>
    </row>
    <row r="83">
      <c r="A83" s="19" t="n"/>
      <c r="B83" s="20" t="n"/>
      <c r="C83" s="19" t="n"/>
      <c r="D83" s="19" t="n"/>
      <c r="E83" s="19" t="n"/>
      <c r="F83" s="21" t="n"/>
      <c r="G83" s="21" t="n"/>
      <c r="H83" s="21" t="n"/>
      <c r="I83" s="22" t="n"/>
      <c r="J83" s="21">
        <f>IFERROR(IF(AND(F83&lt;&gt;"",G83&lt;&gt;"",I83&lt;&gt;""),ABS(F83-G83)*I83,""),"")</f>
        <v/>
      </c>
      <c r="K83" s="23">
        <f>IFERROR(IF(AND(F83&lt;&gt;"",G83&lt;&gt;"",H83&lt;&gt;""),ABS(H83-F83)/ABS(F83-G83),""),"")</f>
        <v/>
      </c>
      <c r="L83" s="20" t="n"/>
      <c r="M83" s="21" t="n"/>
      <c r="N83" s="21" t="n"/>
      <c r="O83" s="24">
        <f>IFERROR(IF(AND(M83&lt;&gt;"",F83&lt;&gt;"",I83&lt;&gt;""),IF(D83="Long",(M83-F83)*I83-IF(N83&lt;&gt;"",N83,0),IF(D83="Short",(F83-M83)*I83-IF(N83&lt;&gt;"",N83,0),"")),""),"")</f>
        <v/>
      </c>
      <c r="P83" s="25">
        <f>IFERROR(IF(AND(O83&lt;&gt;"",F83&lt;&gt;"",I83&lt;&gt;""),O83/(F83*I83),""),"")</f>
        <v/>
      </c>
      <c r="Q83" s="26">
        <f>IFERROR(IF(AND(O83&lt;&gt;"",J83&lt;&gt;"",J83&lt;&gt;0),O83/J83,""),"")</f>
        <v/>
      </c>
      <c r="R83" s="27">
        <f>IFERROR(IF(AND(L83&lt;&gt;"",B83&lt;&gt;""),L83-B83,""),"")</f>
        <v/>
      </c>
      <c r="S83" s="19" t="n"/>
      <c r="T83" s="19" t="n"/>
      <c r="U83" s="17">
        <f>IF(O83&lt;&gt;"",82,"")</f>
        <v/>
      </c>
      <c r="V83" s="18">
        <f>IF(O83&lt;&gt;"",V82+O83,V82)</f>
        <v/>
      </c>
    </row>
    <row r="84">
      <c r="A84" s="8" t="n"/>
      <c r="B84" s="9" t="n"/>
      <c r="C84" s="8" t="n"/>
      <c r="D84" s="8" t="n"/>
      <c r="E84" s="8" t="n"/>
      <c r="F84" s="10" t="n"/>
      <c r="G84" s="10" t="n"/>
      <c r="H84" s="10" t="n"/>
      <c r="I84" s="11" t="n"/>
      <c r="J84" s="10">
        <f>IFERROR(IF(AND(F84&lt;&gt;"",G84&lt;&gt;"",I84&lt;&gt;""),ABS(F84-G84)*I84,""),"")</f>
        <v/>
      </c>
      <c r="K84" s="12">
        <f>IFERROR(IF(AND(F84&lt;&gt;"",G84&lt;&gt;"",H84&lt;&gt;""),ABS(H84-F84)/ABS(F84-G84),""),"")</f>
        <v/>
      </c>
      <c r="L84" s="9" t="n"/>
      <c r="M84" s="10" t="n"/>
      <c r="N84" s="10" t="n"/>
      <c r="O84" s="13">
        <f>IFERROR(IF(AND(M84&lt;&gt;"",F84&lt;&gt;"",I84&lt;&gt;""),IF(D84="Long",(M84-F84)*I84-IF(N84&lt;&gt;"",N84,0),IF(D84="Short",(F84-M84)*I84-IF(N84&lt;&gt;"",N84,0),"")),""),"")</f>
        <v/>
      </c>
      <c r="P84" s="14">
        <f>IFERROR(IF(AND(O84&lt;&gt;"",F84&lt;&gt;"",I84&lt;&gt;""),O84/(F84*I84),""),"")</f>
        <v/>
      </c>
      <c r="Q84" s="15">
        <f>IFERROR(IF(AND(O84&lt;&gt;"",J84&lt;&gt;"",J84&lt;&gt;0),O84/J84,""),"")</f>
        <v/>
      </c>
      <c r="R84" s="16">
        <f>IFERROR(IF(AND(L84&lt;&gt;"",B84&lt;&gt;""),L84-B84,""),"")</f>
        <v/>
      </c>
      <c r="S84" s="8" t="n"/>
      <c r="T84" s="8" t="n"/>
      <c r="U84" s="17">
        <f>IF(O84&lt;&gt;"",83,"")</f>
        <v/>
      </c>
      <c r="V84" s="18">
        <f>IF(O84&lt;&gt;"",V83+O84,V83)</f>
        <v/>
      </c>
    </row>
    <row r="85">
      <c r="A85" s="19" t="n"/>
      <c r="B85" s="20" t="n"/>
      <c r="C85" s="19" t="n"/>
      <c r="D85" s="19" t="n"/>
      <c r="E85" s="19" t="n"/>
      <c r="F85" s="21" t="n"/>
      <c r="G85" s="21" t="n"/>
      <c r="H85" s="21" t="n"/>
      <c r="I85" s="22" t="n"/>
      <c r="J85" s="21">
        <f>IFERROR(IF(AND(F85&lt;&gt;"",G85&lt;&gt;"",I85&lt;&gt;""),ABS(F85-G85)*I85,""),"")</f>
        <v/>
      </c>
      <c r="K85" s="23">
        <f>IFERROR(IF(AND(F85&lt;&gt;"",G85&lt;&gt;"",H85&lt;&gt;""),ABS(H85-F85)/ABS(F85-G85),""),"")</f>
        <v/>
      </c>
      <c r="L85" s="20" t="n"/>
      <c r="M85" s="21" t="n"/>
      <c r="N85" s="21" t="n"/>
      <c r="O85" s="24">
        <f>IFERROR(IF(AND(M85&lt;&gt;"",F85&lt;&gt;"",I85&lt;&gt;""),IF(D85="Long",(M85-F85)*I85-IF(N85&lt;&gt;"",N85,0),IF(D85="Short",(F85-M85)*I85-IF(N85&lt;&gt;"",N85,0),"")),""),"")</f>
        <v/>
      </c>
      <c r="P85" s="25">
        <f>IFERROR(IF(AND(O85&lt;&gt;"",F85&lt;&gt;"",I85&lt;&gt;""),O85/(F85*I85),""),"")</f>
        <v/>
      </c>
      <c r="Q85" s="26">
        <f>IFERROR(IF(AND(O85&lt;&gt;"",J85&lt;&gt;"",J85&lt;&gt;0),O85/J85,""),"")</f>
        <v/>
      </c>
      <c r="R85" s="27">
        <f>IFERROR(IF(AND(L85&lt;&gt;"",B85&lt;&gt;""),L85-B85,""),"")</f>
        <v/>
      </c>
      <c r="S85" s="19" t="n"/>
      <c r="T85" s="19" t="n"/>
      <c r="U85" s="17">
        <f>IF(O85&lt;&gt;"",84,"")</f>
        <v/>
      </c>
      <c r="V85" s="18">
        <f>IF(O85&lt;&gt;"",V84+O85,V84)</f>
        <v/>
      </c>
    </row>
    <row r="86">
      <c r="A86" s="8" t="n"/>
      <c r="B86" s="9" t="n"/>
      <c r="C86" s="8" t="n"/>
      <c r="D86" s="8" t="n"/>
      <c r="E86" s="8" t="n"/>
      <c r="F86" s="10" t="n"/>
      <c r="G86" s="10" t="n"/>
      <c r="H86" s="10" t="n"/>
      <c r="I86" s="11" t="n"/>
      <c r="J86" s="10">
        <f>IFERROR(IF(AND(F86&lt;&gt;"",G86&lt;&gt;"",I86&lt;&gt;""),ABS(F86-G86)*I86,""),"")</f>
        <v/>
      </c>
      <c r="K86" s="12">
        <f>IFERROR(IF(AND(F86&lt;&gt;"",G86&lt;&gt;"",H86&lt;&gt;""),ABS(H86-F86)/ABS(F86-G86),""),"")</f>
        <v/>
      </c>
      <c r="L86" s="9" t="n"/>
      <c r="M86" s="10" t="n"/>
      <c r="N86" s="10" t="n"/>
      <c r="O86" s="13">
        <f>IFERROR(IF(AND(M86&lt;&gt;"",F86&lt;&gt;"",I86&lt;&gt;""),IF(D86="Long",(M86-F86)*I86-IF(N86&lt;&gt;"",N86,0),IF(D86="Short",(F86-M86)*I86-IF(N86&lt;&gt;"",N86,0),"")),""),"")</f>
        <v/>
      </c>
      <c r="P86" s="14">
        <f>IFERROR(IF(AND(O86&lt;&gt;"",F86&lt;&gt;"",I86&lt;&gt;""),O86/(F86*I86),""),"")</f>
        <v/>
      </c>
      <c r="Q86" s="15">
        <f>IFERROR(IF(AND(O86&lt;&gt;"",J86&lt;&gt;"",J86&lt;&gt;0),O86/J86,""),"")</f>
        <v/>
      </c>
      <c r="R86" s="16">
        <f>IFERROR(IF(AND(L86&lt;&gt;"",B86&lt;&gt;""),L86-B86,""),"")</f>
        <v/>
      </c>
      <c r="S86" s="8" t="n"/>
      <c r="T86" s="8" t="n"/>
      <c r="U86" s="17">
        <f>IF(O86&lt;&gt;"",85,"")</f>
        <v/>
      </c>
      <c r="V86" s="18">
        <f>IF(O86&lt;&gt;"",V85+O86,V85)</f>
        <v/>
      </c>
    </row>
    <row r="87">
      <c r="A87" s="19" t="n"/>
      <c r="B87" s="20" t="n"/>
      <c r="C87" s="19" t="n"/>
      <c r="D87" s="19" t="n"/>
      <c r="E87" s="19" t="n"/>
      <c r="F87" s="21" t="n"/>
      <c r="G87" s="21" t="n"/>
      <c r="H87" s="21" t="n"/>
      <c r="I87" s="22" t="n"/>
      <c r="J87" s="21">
        <f>IFERROR(IF(AND(F87&lt;&gt;"",G87&lt;&gt;"",I87&lt;&gt;""),ABS(F87-G87)*I87,""),"")</f>
        <v/>
      </c>
      <c r="K87" s="23">
        <f>IFERROR(IF(AND(F87&lt;&gt;"",G87&lt;&gt;"",H87&lt;&gt;""),ABS(H87-F87)/ABS(F87-G87),""),"")</f>
        <v/>
      </c>
      <c r="L87" s="20" t="n"/>
      <c r="M87" s="21" t="n"/>
      <c r="N87" s="21" t="n"/>
      <c r="O87" s="24">
        <f>IFERROR(IF(AND(M87&lt;&gt;"",F87&lt;&gt;"",I87&lt;&gt;""),IF(D87="Long",(M87-F87)*I87-IF(N87&lt;&gt;"",N87,0),IF(D87="Short",(F87-M87)*I87-IF(N87&lt;&gt;"",N87,0),"")),""),"")</f>
        <v/>
      </c>
      <c r="P87" s="25">
        <f>IFERROR(IF(AND(O87&lt;&gt;"",F87&lt;&gt;"",I87&lt;&gt;""),O87/(F87*I87),""),"")</f>
        <v/>
      </c>
      <c r="Q87" s="26">
        <f>IFERROR(IF(AND(O87&lt;&gt;"",J87&lt;&gt;"",J87&lt;&gt;0),O87/J87,""),"")</f>
        <v/>
      </c>
      <c r="R87" s="27">
        <f>IFERROR(IF(AND(L87&lt;&gt;"",B87&lt;&gt;""),L87-B87,""),"")</f>
        <v/>
      </c>
      <c r="S87" s="19" t="n"/>
      <c r="T87" s="19" t="n"/>
      <c r="U87" s="17">
        <f>IF(O87&lt;&gt;"",86,"")</f>
        <v/>
      </c>
      <c r="V87" s="18">
        <f>IF(O87&lt;&gt;"",V86+O87,V86)</f>
        <v/>
      </c>
    </row>
    <row r="88">
      <c r="A88" s="8" t="n"/>
      <c r="B88" s="9" t="n"/>
      <c r="C88" s="8" t="n"/>
      <c r="D88" s="8" t="n"/>
      <c r="E88" s="8" t="n"/>
      <c r="F88" s="10" t="n"/>
      <c r="G88" s="10" t="n"/>
      <c r="H88" s="10" t="n"/>
      <c r="I88" s="11" t="n"/>
      <c r="J88" s="10">
        <f>IFERROR(IF(AND(F88&lt;&gt;"",G88&lt;&gt;"",I88&lt;&gt;""),ABS(F88-G88)*I88,""),"")</f>
        <v/>
      </c>
      <c r="K88" s="12">
        <f>IFERROR(IF(AND(F88&lt;&gt;"",G88&lt;&gt;"",H88&lt;&gt;""),ABS(H88-F88)/ABS(F88-G88),""),"")</f>
        <v/>
      </c>
      <c r="L88" s="9" t="n"/>
      <c r="M88" s="10" t="n"/>
      <c r="N88" s="10" t="n"/>
      <c r="O88" s="13">
        <f>IFERROR(IF(AND(M88&lt;&gt;"",F88&lt;&gt;"",I88&lt;&gt;""),IF(D88="Long",(M88-F88)*I88-IF(N88&lt;&gt;"",N88,0),IF(D88="Short",(F88-M88)*I88-IF(N88&lt;&gt;"",N88,0),"")),""),"")</f>
        <v/>
      </c>
      <c r="P88" s="14">
        <f>IFERROR(IF(AND(O88&lt;&gt;"",F88&lt;&gt;"",I88&lt;&gt;""),O88/(F88*I88),""),"")</f>
        <v/>
      </c>
      <c r="Q88" s="15">
        <f>IFERROR(IF(AND(O88&lt;&gt;"",J88&lt;&gt;"",J88&lt;&gt;0),O88/J88,""),"")</f>
        <v/>
      </c>
      <c r="R88" s="16">
        <f>IFERROR(IF(AND(L88&lt;&gt;"",B88&lt;&gt;""),L88-B88,""),"")</f>
        <v/>
      </c>
      <c r="S88" s="8" t="n"/>
      <c r="T88" s="8" t="n"/>
      <c r="U88" s="17">
        <f>IF(O88&lt;&gt;"",87,"")</f>
        <v/>
      </c>
      <c r="V88" s="18">
        <f>IF(O88&lt;&gt;"",V87+O88,V87)</f>
        <v/>
      </c>
    </row>
    <row r="89">
      <c r="A89" s="19" t="n"/>
      <c r="B89" s="20" t="n"/>
      <c r="C89" s="19" t="n"/>
      <c r="D89" s="19" t="n"/>
      <c r="E89" s="19" t="n"/>
      <c r="F89" s="21" t="n"/>
      <c r="G89" s="21" t="n"/>
      <c r="H89" s="21" t="n"/>
      <c r="I89" s="22" t="n"/>
      <c r="J89" s="21">
        <f>IFERROR(IF(AND(F89&lt;&gt;"",G89&lt;&gt;"",I89&lt;&gt;""),ABS(F89-G89)*I89,""),"")</f>
        <v/>
      </c>
      <c r="K89" s="23">
        <f>IFERROR(IF(AND(F89&lt;&gt;"",G89&lt;&gt;"",H89&lt;&gt;""),ABS(H89-F89)/ABS(F89-G89),""),"")</f>
        <v/>
      </c>
      <c r="L89" s="20" t="n"/>
      <c r="M89" s="21" t="n"/>
      <c r="N89" s="21" t="n"/>
      <c r="O89" s="24">
        <f>IFERROR(IF(AND(M89&lt;&gt;"",F89&lt;&gt;"",I89&lt;&gt;""),IF(D89="Long",(M89-F89)*I89-IF(N89&lt;&gt;"",N89,0),IF(D89="Short",(F89-M89)*I89-IF(N89&lt;&gt;"",N89,0),"")),""),"")</f>
        <v/>
      </c>
      <c r="P89" s="25">
        <f>IFERROR(IF(AND(O89&lt;&gt;"",F89&lt;&gt;"",I89&lt;&gt;""),O89/(F89*I89),""),"")</f>
        <v/>
      </c>
      <c r="Q89" s="26">
        <f>IFERROR(IF(AND(O89&lt;&gt;"",J89&lt;&gt;"",J89&lt;&gt;0),O89/J89,""),"")</f>
        <v/>
      </c>
      <c r="R89" s="27">
        <f>IFERROR(IF(AND(L89&lt;&gt;"",B89&lt;&gt;""),L89-B89,""),"")</f>
        <v/>
      </c>
      <c r="S89" s="19" t="n"/>
      <c r="T89" s="19" t="n"/>
      <c r="U89" s="17">
        <f>IF(O89&lt;&gt;"",88,"")</f>
        <v/>
      </c>
      <c r="V89" s="18">
        <f>IF(O89&lt;&gt;"",V88+O89,V88)</f>
        <v/>
      </c>
    </row>
    <row r="90">
      <c r="A90" s="8" t="n"/>
      <c r="B90" s="9" t="n"/>
      <c r="C90" s="8" t="n"/>
      <c r="D90" s="8" t="n"/>
      <c r="E90" s="8" t="n"/>
      <c r="F90" s="10" t="n"/>
      <c r="G90" s="10" t="n"/>
      <c r="H90" s="10" t="n"/>
      <c r="I90" s="11" t="n"/>
      <c r="J90" s="10">
        <f>IFERROR(IF(AND(F90&lt;&gt;"",G90&lt;&gt;"",I90&lt;&gt;""),ABS(F90-G90)*I90,""),"")</f>
        <v/>
      </c>
      <c r="K90" s="12">
        <f>IFERROR(IF(AND(F90&lt;&gt;"",G90&lt;&gt;"",H90&lt;&gt;""),ABS(H90-F90)/ABS(F90-G90),""),"")</f>
        <v/>
      </c>
      <c r="L90" s="9" t="n"/>
      <c r="M90" s="10" t="n"/>
      <c r="N90" s="10" t="n"/>
      <c r="O90" s="13">
        <f>IFERROR(IF(AND(M90&lt;&gt;"",F90&lt;&gt;"",I90&lt;&gt;""),IF(D90="Long",(M90-F90)*I90-IF(N90&lt;&gt;"",N90,0),IF(D90="Short",(F90-M90)*I90-IF(N90&lt;&gt;"",N90,0),"")),""),"")</f>
        <v/>
      </c>
      <c r="P90" s="14">
        <f>IFERROR(IF(AND(O90&lt;&gt;"",F90&lt;&gt;"",I90&lt;&gt;""),O90/(F90*I90),""),"")</f>
        <v/>
      </c>
      <c r="Q90" s="15">
        <f>IFERROR(IF(AND(O90&lt;&gt;"",J90&lt;&gt;"",J90&lt;&gt;0),O90/J90,""),"")</f>
        <v/>
      </c>
      <c r="R90" s="16">
        <f>IFERROR(IF(AND(L90&lt;&gt;"",B90&lt;&gt;""),L90-B90,""),"")</f>
        <v/>
      </c>
      <c r="S90" s="8" t="n"/>
      <c r="T90" s="8" t="n"/>
      <c r="U90" s="17">
        <f>IF(O90&lt;&gt;"",89,"")</f>
        <v/>
      </c>
      <c r="V90" s="18">
        <f>IF(O90&lt;&gt;"",V89+O90,V89)</f>
        <v/>
      </c>
    </row>
    <row r="91">
      <c r="A91" s="19" t="n"/>
      <c r="B91" s="20" t="n"/>
      <c r="C91" s="19" t="n"/>
      <c r="D91" s="19" t="n"/>
      <c r="E91" s="19" t="n"/>
      <c r="F91" s="21" t="n"/>
      <c r="G91" s="21" t="n"/>
      <c r="H91" s="21" t="n"/>
      <c r="I91" s="22" t="n"/>
      <c r="J91" s="21">
        <f>IFERROR(IF(AND(F91&lt;&gt;"",G91&lt;&gt;"",I91&lt;&gt;""),ABS(F91-G91)*I91,""),"")</f>
        <v/>
      </c>
      <c r="K91" s="23">
        <f>IFERROR(IF(AND(F91&lt;&gt;"",G91&lt;&gt;"",H91&lt;&gt;""),ABS(H91-F91)/ABS(F91-G91),""),"")</f>
        <v/>
      </c>
      <c r="L91" s="20" t="n"/>
      <c r="M91" s="21" t="n"/>
      <c r="N91" s="21" t="n"/>
      <c r="O91" s="24">
        <f>IFERROR(IF(AND(M91&lt;&gt;"",F91&lt;&gt;"",I91&lt;&gt;""),IF(D91="Long",(M91-F91)*I91-IF(N91&lt;&gt;"",N91,0),IF(D91="Short",(F91-M91)*I91-IF(N91&lt;&gt;"",N91,0),"")),""),"")</f>
        <v/>
      </c>
      <c r="P91" s="25">
        <f>IFERROR(IF(AND(O91&lt;&gt;"",F91&lt;&gt;"",I91&lt;&gt;""),O91/(F91*I91),""),"")</f>
        <v/>
      </c>
      <c r="Q91" s="26">
        <f>IFERROR(IF(AND(O91&lt;&gt;"",J91&lt;&gt;"",J91&lt;&gt;0),O91/J91,""),"")</f>
        <v/>
      </c>
      <c r="R91" s="27">
        <f>IFERROR(IF(AND(L91&lt;&gt;"",B91&lt;&gt;""),L91-B91,""),"")</f>
        <v/>
      </c>
      <c r="S91" s="19" t="n"/>
      <c r="T91" s="19" t="n"/>
      <c r="U91" s="17">
        <f>IF(O91&lt;&gt;"",90,"")</f>
        <v/>
      </c>
      <c r="V91" s="18">
        <f>IF(O91&lt;&gt;"",V90+O91,V90)</f>
        <v/>
      </c>
    </row>
    <row r="92">
      <c r="A92" s="8" t="n"/>
      <c r="B92" s="9" t="n"/>
      <c r="C92" s="8" t="n"/>
      <c r="D92" s="8" t="n"/>
      <c r="E92" s="8" t="n"/>
      <c r="F92" s="10" t="n"/>
      <c r="G92" s="10" t="n"/>
      <c r="H92" s="10" t="n"/>
      <c r="I92" s="11" t="n"/>
      <c r="J92" s="10">
        <f>IFERROR(IF(AND(F92&lt;&gt;"",G92&lt;&gt;"",I92&lt;&gt;""),ABS(F92-G92)*I92,""),"")</f>
        <v/>
      </c>
      <c r="K92" s="12">
        <f>IFERROR(IF(AND(F92&lt;&gt;"",G92&lt;&gt;"",H92&lt;&gt;""),ABS(H92-F92)/ABS(F92-G92),""),"")</f>
        <v/>
      </c>
      <c r="L92" s="9" t="n"/>
      <c r="M92" s="10" t="n"/>
      <c r="N92" s="10" t="n"/>
      <c r="O92" s="13">
        <f>IFERROR(IF(AND(M92&lt;&gt;"",F92&lt;&gt;"",I92&lt;&gt;""),IF(D92="Long",(M92-F92)*I92-IF(N92&lt;&gt;"",N92,0),IF(D92="Short",(F92-M92)*I92-IF(N92&lt;&gt;"",N92,0),"")),""),"")</f>
        <v/>
      </c>
      <c r="P92" s="14">
        <f>IFERROR(IF(AND(O92&lt;&gt;"",F92&lt;&gt;"",I92&lt;&gt;""),O92/(F92*I92),""),"")</f>
        <v/>
      </c>
      <c r="Q92" s="15">
        <f>IFERROR(IF(AND(O92&lt;&gt;"",J92&lt;&gt;"",J92&lt;&gt;0),O92/J92,""),"")</f>
        <v/>
      </c>
      <c r="R92" s="16">
        <f>IFERROR(IF(AND(L92&lt;&gt;"",B92&lt;&gt;""),L92-B92,""),"")</f>
        <v/>
      </c>
      <c r="S92" s="8" t="n"/>
      <c r="T92" s="8" t="n"/>
      <c r="U92" s="17">
        <f>IF(O92&lt;&gt;"",91,"")</f>
        <v/>
      </c>
      <c r="V92" s="18">
        <f>IF(O92&lt;&gt;"",V91+O92,V91)</f>
        <v/>
      </c>
    </row>
    <row r="93">
      <c r="A93" s="19" t="n"/>
      <c r="B93" s="20" t="n"/>
      <c r="C93" s="19" t="n"/>
      <c r="D93" s="19" t="n"/>
      <c r="E93" s="19" t="n"/>
      <c r="F93" s="21" t="n"/>
      <c r="G93" s="21" t="n"/>
      <c r="H93" s="21" t="n"/>
      <c r="I93" s="22" t="n"/>
      <c r="J93" s="21">
        <f>IFERROR(IF(AND(F93&lt;&gt;"",G93&lt;&gt;"",I93&lt;&gt;""),ABS(F93-G93)*I93,""),"")</f>
        <v/>
      </c>
      <c r="K93" s="23">
        <f>IFERROR(IF(AND(F93&lt;&gt;"",G93&lt;&gt;"",H93&lt;&gt;""),ABS(H93-F93)/ABS(F93-G93),""),"")</f>
        <v/>
      </c>
      <c r="L93" s="20" t="n"/>
      <c r="M93" s="21" t="n"/>
      <c r="N93" s="21" t="n"/>
      <c r="O93" s="24">
        <f>IFERROR(IF(AND(M93&lt;&gt;"",F93&lt;&gt;"",I93&lt;&gt;""),IF(D93="Long",(M93-F93)*I93-IF(N93&lt;&gt;"",N93,0),IF(D93="Short",(F93-M93)*I93-IF(N93&lt;&gt;"",N93,0),"")),""),"")</f>
        <v/>
      </c>
      <c r="P93" s="25">
        <f>IFERROR(IF(AND(O93&lt;&gt;"",F93&lt;&gt;"",I93&lt;&gt;""),O93/(F93*I93),""),"")</f>
        <v/>
      </c>
      <c r="Q93" s="26">
        <f>IFERROR(IF(AND(O93&lt;&gt;"",J93&lt;&gt;"",J93&lt;&gt;0),O93/J93,""),"")</f>
        <v/>
      </c>
      <c r="R93" s="27">
        <f>IFERROR(IF(AND(L93&lt;&gt;"",B93&lt;&gt;""),L93-B93,""),"")</f>
        <v/>
      </c>
      <c r="S93" s="19" t="n"/>
      <c r="T93" s="19" t="n"/>
      <c r="U93" s="17">
        <f>IF(O93&lt;&gt;"",92,"")</f>
        <v/>
      </c>
      <c r="V93" s="18">
        <f>IF(O93&lt;&gt;"",V92+O93,V92)</f>
        <v/>
      </c>
    </row>
    <row r="94">
      <c r="A94" s="8" t="n"/>
      <c r="B94" s="9" t="n"/>
      <c r="C94" s="8" t="n"/>
      <c r="D94" s="8" t="n"/>
      <c r="E94" s="8" t="n"/>
      <c r="F94" s="10" t="n"/>
      <c r="G94" s="10" t="n"/>
      <c r="H94" s="10" t="n"/>
      <c r="I94" s="11" t="n"/>
      <c r="J94" s="10">
        <f>IFERROR(IF(AND(F94&lt;&gt;"",G94&lt;&gt;"",I94&lt;&gt;""),ABS(F94-G94)*I94,""),"")</f>
        <v/>
      </c>
      <c r="K94" s="12">
        <f>IFERROR(IF(AND(F94&lt;&gt;"",G94&lt;&gt;"",H94&lt;&gt;""),ABS(H94-F94)/ABS(F94-G94),""),"")</f>
        <v/>
      </c>
      <c r="L94" s="9" t="n"/>
      <c r="M94" s="10" t="n"/>
      <c r="N94" s="10" t="n"/>
      <c r="O94" s="13">
        <f>IFERROR(IF(AND(M94&lt;&gt;"",F94&lt;&gt;"",I94&lt;&gt;""),IF(D94="Long",(M94-F94)*I94-IF(N94&lt;&gt;"",N94,0),IF(D94="Short",(F94-M94)*I94-IF(N94&lt;&gt;"",N94,0),"")),""),"")</f>
        <v/>
      </c>
      <c r="P94" s="14">
        <f>IFERROR(IF(AND(O94&lt;&gt;"",F94&lt;&gt;"",I94&lt;&gt;""),O94/(F94*I94),""),"")</f>
        <v/>
      </c>
      <c r="Q94" s="15">
        <f>IFERROR(IF(AND(O94&lt;&gt;"",J94&lt;&gt;"",J94&lt;&gt;0),O94/J94,""),"")</f>
        <v/>
      </c>
      <c r="R94" s="16">
        <f>IFERROR(IF(AND(L94&lt;&gt;"",B94&lt;&gt;""),L94-B94,""),"")</f>
        <v/>
      </c>
      <c r="S94" s="8" t="n"/>
      <c r="T94" s="8" t="n"/>
      <c r="U94" s="17">
        <f>IF(O94&lt;&gt;"",93,"")</f>
        <v/>
      </c>
      <c r="V94" s="18">
        <f>IF(O94&lt;&gt;"",V93+O94,V93)</f>
        <v/>
      </c>
    </row>
    <row r="95">
      <c r="A95" s="19" t="n"/>
      <c r="B95" s="20" t="n"/>
      <c r="C95" s="19" t="n"/>
      <c r="D95" s="19" t="n"/>
      <c r="E95" s="19" t="n"/>
      <c r="F95" s="21" t="n"/>
      <c r="G95" s="21" t="n"/>
      <c r="H95" s="21" t="n"/>
      <c r="I95" s="22" t="n"/>
      <c r="J95" s="21">
        <f>IFERROR(IF(AND(F95&lt;&gt;"",G95&lt;&gt;"",I95&lt;&gt;""),ABS(F95-G95)*I95,""),"")</f>
        <v/>
      </c>
      <c r="K95" s="23">
        <f>IFERROR(IF(AND(F95&lt;&gt;"",G95&lt;&gt;"",H95&lt;&gt;""),ABS(H95-F95)/ABS(F95-G95),""),"")</f>
        <v/>
      </c>
      <c r="L95" s="20" t="n"/>
      <c r="M95" s="21" t="n"/>
      <c r="N95" s="21" t="n"/>
      <c r="O95" s="24">
        <f>IFERROR(IF(AND(M95&lt;&gt;"",F95&lt;&gt;"",I95&lt;&gt;""),IF(D95="Long",(M95-F95)*I95-IF(N95&lt;&gt;"",N95,0),IF(D95="Short",(F95-M95)*I95-IF(N95&lt;&gt;"",N95,0),"")),""),"")</f>
        <v/>
      </c>
      <c r="P95" s="25">
        <f>IFERROR(IF(AND(O95&lt;&gt;"",F95&lt;&gt;"",I95&lt;&gt;""),O95/(F95*I95),""),"")</f>
        <v/>
      </c>
      <c r="Q95" s="26">
        <f>IFERROR(IF(AND(O95&lt;&gt;"",J95&lt;&gt;"",J95&lt;&gt;0),O95/J95,""),"")</f>
        <v/>
      </c>
      <c r="R95" s="27">
        <f>IFERROR(IF(AND(L95&lt;&gt;"",B95&lt;&gt;""),L95-B95,""),"")</f>
        <v/>
      </c>
      <c r="S95" s="19" t="n"/>
      <c r="T95" s="19" t="n"/>
      <c r="U95" s="17">
        <f>IF(O95&lt;&gt;"",94,"")</f>
        <v/>
      </c>
      <c r="V95" s="18">
        <f>IF(O95&lt;&gt;"",V94+O95,V94)</f>
        <v/>
      </c>
    </row>
    <row r="96">
      <c r="A96" s="8" t="n"/>
      <c r="B96" s="9" t="n"/>
      <c r="C96" s="8" t="n"/>
      <c r="D96" s="8" t="n"/>
      <c r="E96" s="8" t="n"/>
      <c r="F96" s="10" t="n"/>
      <c r="G96" s="10" t="n"/>
      <c r="H96" s="10" t="n"/>
      <c r="I96" s="11" t="n"/>
      <c r="J96" s="10">
        <f>IFERROR(IF(AND(F96&lt;&gt;"",G96&lt;&gt;"",I96&lt;&gt;""),ABS(F96-G96)*I96,""),"")</f>
        <v/>
      </c>
      <c r="K96" s="12">
        <f>IFERROR(IF(AND(F96&lt;&gt;"",G96&lt;&gt;"",H96&lt;&gt;""),ABS(H96-F96)/ABS(F96-G96),""),"")</f>
        <v/>
      </c>
      <c r="L96" s="9" t="n"/>
      <c r="M96" s="10" t="n"/>
      <c r="N96" s="10" t="n"/>
      <c r="O96" s="13">
        <f>IFERROR(IF(AND(M96&lt;&gt;"",F96&lt;&gt;"",I96&lt;&gt;""),IF(D96="Long",(M96-F96)*I96-IF(N96&lt;&gt;"",N96,0),IF(D96="Short",(F96-M96)*I96-IF(N96&lt;&gt;"",N96,0),"")),""),"")</f>
        <v/>
      </c>
      <c r="P96" s="14">
        <f>IFERROR(IF(AND(O96&lt;&gt;"",F96&lt;&gt;"",I96&lt;&gt;""),O96/(F96*I96),""),"")</f>
        <v/>
      </c>
      <c r="Q96" s="15">
        <f>IFERROR(IF(AND(O96&lt;&gt;"",J96&lt;&gt;"",J96&lt;&gt;0),O96/J96,""),"")</f>
        <v/>
      </c>
      <c r="R96" s="16">
        <f>IFERROR(IF(AND(L96&lt;&gt;"",B96&lt;&gt;""),L96-B96,""),"")</f>
        <v/>
      </c>
      <c r="S96" s="8" t="n"/>
      <c r="T96" s="8" t="n"/>
      <c r="U96" s="17">
        <f>IF(O96&lt;&gt;"",95,"")</f>
        <v/>
      </c>
      <c r="V96" s="18">
        <f>IF(O96&lt;&gt;"",V95+O96,V95)</f>
        <v/>
      </c>
    </row>
    <row r="97">
      <c r="A97" s="19" t="n"/>
      <c r="B97" s="20" t="n"/>
      <c r="C97" s="19" t="n"/>
      <c r="D97" s="19" t="n"/>
      <c r="E97" s="19" t="n"/>
      <c r="F97" s="21" t="n"/>
      <c r="G97" s="21" t="n"/>
      <c r="H97" s="21" t="n"/>
      <c r="I97" s="22" t="n"/>
      <c r="J97" s="21">
        <f>IFERROR(IF(AND(F97&lt;&gt;"",G97&lt;&gt;"",I97&lt;&gt;""),ABS(F97-G97)*I97,""),"")</f>
        <v/>
      </c>
      <c r="K97" s="23">
        <f>IFERROR(IF(AND(F97&lt;&gt;"",G97&lt;&gt;"",H97&lt;&gt;""),ABS(H97-F97)/ABS(F97-G97),""),"")</f>
        <v/>
      </c>
      <c r="L97" s="20" t="n"/>
      <c r="M97" s="21" t="n"/>
      <c r="N97" s="21" t="n"/>
      <c r="O97" s="24">
        <f>IFERROR(IF(AND(M97&lt;&gt;"",F97&lt;&gt;"",I97&lt;&gt;""),IF(D97="Long",(M97-F97)*I97-IF(N97&lt;&gt;"",N97,0),IF(D97="Short",(F97-M97)*I97-IF(N97&lt;&gt;"",N97,0),"")),""),"")</f>
        <v/>
      </c>
      <c r="P97" s="25">
        <f>IFERROR(IF(AND(O97&lt;&gt;"",F97&lt;&gt;"",I97&lt;&gt;""),O97/(F97*I97),""),"")</f>
        <v/>
      </c>
      <c r="Q97" s="26">
        <f>IFERROR(IF(AND(O97&lt;&gt;"",J97&lt;&gt;"",J97&lt;&gt;0),O97/J97,""),"")</f>
        <v/>
      </c>
      <c r="R97" s="27">
        <f>IFERROR(IF(AND(L97&lt;&gt;"",B97&lt;&gt;""),L97-B97,""),"")</f>
        <v/>
      </c>
      <c r="S97" s="19" t="n"/>
      <c r="T97" s="19" t="n"/>
      <c r="U97" s="17">
        <f>IF(O97&lt;&gt;"",96,"")</f>
        <v/>
      </c>
      <c r="V97" s="18">
        <f>IF(O97&lt;&gt;"",V96+O97,V96)</f>
        <v/>
      </c>
    </row>
    <row r="98">
      <c r="A98" s="8" t="n"/>
      <c r="B98" s="9" t="n"/>
      <c r="C98" s="8" t="n"/>
      <c r="D98" s="8" t="n"/>
      <c r="E98" s="8" t="n"/>
      <c r="F98" s="10" t="n"/>
      <c r="G98" s="10" t="n"/>
      <c r="H98" s="10" t="n"/>
      <c r="I98" s="11" t="n"/>
      <c r="J98" s="10">
        <f>IFERROR(IF(AND(F98&lt;&gt;"",G98&lt;&gt;"",I98&lt;&gt;""),ABS(F98-G98)*I98,""),"")</f>
        <v/>
      </c>
      <c r="K98" s="12">
        <f>IFERROR(IF(AND(F98&lt;&gt;"",G98&lt;&gt;"",H98&lt;&gt;""),ABS(H98-F98)/ABS(F98-G98),""),"")</f>
        <v/>
      </c>
      <c r="L98" s="9" t="n"/>
      <c r="M98" s="10" t="n"/>
      <c r="N98" s="10" t="n"/>
      <c r="O98" s="13">
        <f>IFERROR(IF(AND(M98&lt;&gt;"",F98&lt;&gt;"",I98&lt;&gt;""),IF(D98="Long",(M98-F98)*I98-IF(N98&lt;&gt;"",N98,0),IF(D98="Short",(F98-M98)*I98-IF(N98&lt;&gt;"",N98,0),"")),""),"")</f>
        <v/>
      </c>
      <c r="P98" s="14">
        <f>IFERROR(IF(AND(O98&lt;&gt;"",F98&lt;&gt;"",I98&lt;&gt;""),O98/(F98*I98),""),"")</f>
        <v/>
      </c>
      <c r="Q98" s="15">
        <f>IFERROR(IF(AND(O98&lt;&gt;"",J98&lt;&gt;"",J98&lt;&gt;0),O98/J98,""),"")</f>
        <v/>
      </c>
      <c r="R98" s="16">
        <f>IFERROR(IF(AND(L98&lt;&gt;"",B98&lt;&gt;""),L98-B98,""),"")</f>
        <v/>
      </c>
      <c r="S98" s="8" t="n"/>
      <c r="T98" s="8" t="n"/>
      <c r="U98" s="17">
        <f>IF(O98&lt;&gt;"",97,"")</f>
        <v/>
      </c>
      <c r="V98" s="18">
        <f>IF(O98&lt;&gt;"",V97+O98,V97)</f>
        <v/>
      </c>
    </row>
    <row r="99">
      <c r="A99" s="19" t="n"/>
      <c r="B99" s="20" t="n"/>
      <c r="C99" s="19" t="n"/>
      <c r="D99" s="19" t="n"/>
      <c r="E99" s="19" t="n"/>
      <c r="F99" s="21" t="n"/>
      <c r="G99" s="21" t="n"/>
      <c r="H99" s="21" t="n"/>
      <c r="I99" s="22" t="n"/>
      <c r="J99" s="21">
        <f>IFERROR(IF(AND(F99&lt;&gt;"",G99&lt;&gt;"",I99&lt;&gt;""),ABS(F99-G99)*I99,""),"")</f>
        <v/>
      </c>
      <c r="K99" s="23">
        <f>IFERROR(IF(AND(F99&lt;&gt;"",G99&lt;&gt;"",H99&lt;&gt;""),ABS(H99-F99)/ABS(F99-G99),""),"")</f>
        <v/>
      </c>
      <c r="L99" s="20" t="n"/>
      <c r="M99" s="21" t="n"/>
      <c r="N99" s="21" t="n"/>
      <c r="O99" s="24">
        <f>IFERROR(IF(AND(M99&lt;&gt;"",F99&lt;&gt;"",I99&lt;&gt;""),IF(D99="Long",(M99-F99)*I99-IF(N99&lt;&gt;"",N99,0),IF(D99="Short",(F99-M99)*I99-IF(N99&lt;&gt;"",N99,0),"")),""),"")</f>
        <v/>
      </c>
      <c r="P99" s="25">
        <f>IFERROR(IF(AND(O99&lt;&gt;"",F99&lt;&gt;"",I99&lt;&gt;""),O99/(F99*I99),""),"")</f>
        <v/>
      </c>
      <c r="Q99" s="26">
        <f>IFERROR(IF(AND(O99&lt;&gt;"",J99&lt;&gt;"",J99&lt;&gt;0),O99/J99,""),"")</f>
        <v/>
      </c>
      <c r="R99" s="27">
        <f>IFERROR(IF(AND(L99&lt;&gt;"",B99&lt;&gt;""),L99-B99,""),"")</f>
        <v/>
      </c>
      <c r="S99" s="19" t="n"/>
      <c r="T99" s="19" t="n"/>
      <c r="U99" s="17">
        <f>IF(O99&lt;&gt;"",98,"")</f>
        <v/>
      </c>
      <c r="V99" s="18">
        <f>IF(O99&lt;&gt;"",V98+O99,V98)</f>
        <v/>
      </c>
    </row>
    <row r="100">
      <c r="A100" s="8" t="n"/>
      <c r="B100" s="9" t="n"/>
      <c r="C100" s="8" t="n"/>
      <c r="D100" s="8" t="n"/>
      <c r="E100" s="8" t="n"/>
      <c r="F100" s="10" t="n"/>
      <c r="G100" s="10" t="n"/>
      <c r="H100" s="10" t="n"/>
      <c r="I100" s="11" t="n"/>
      <c r="J100" s="10">
        <f>IFERROR(IF(AND(F100&lt;&gt;"",G100&lt;&gt;"",I100&lt;&gt;""),ABS(F100-G100)*I100,""),"")</f>
        <v/>
      </c>
      <c r="K100" s="12">
        <f>IFERROR(IF(AND(F100&lt;&gt;"",G100&lt;&gt;"",H100&lt;&gt;""),ABS(H100-F100)/ABS(F100-G100),""),"")</f>
        <v/>
      </c>
      <c r="L100" s="9" t="n"/>
      <c r="M100" s="10" t="n"/>
      <c r="N100" s="10" t="n"/>
      <c r="O100" s="13">
        <f>IFERROR(IF(AND(M100&lt;&gt;"",F100&lt;&gt;"",I100&lt;&gt;""),IF(D100="Long",(M100-F100)*I100-IF(N100&lt;&gt;"",N100,0),IF(D100="Short",(F100-M100)*I100-IF(N100&lt;&gt;"",N100,0),"")),""),"")</f>
        <v/>
      </c>
      <c r="P100" s="14">
        <f>IFERROR(IF(AND(O100&lt;&gt;"",F100&lt;&gt;"",I100&lt;&gt;""),O100/(F100*I100),""),"")</f>
        <v/>
      </c>
      <c r="Q100" s="15">
        <f>IFERROR(IF(AND(O100&lt;&gt;"",J100&lt;&gt;"",J100&lt;&gt;0),O100/J100,""),"")</f>
        <v/>
      </c>
      <c r="R100" s="16">
        <f>IFERROR(IF(AND(L100&lt;&gt;"",B100&lt;&gt;""),L100-B100,""),"")</f>
        <v/>
      </c>
      <c r="S100" s="8" t="n"/>
      <c r="T100" s="8" t="n"/>
      <c r="U100" s="17">
        <f>IF(O100&lt;&gt;"",99,"")</f>
        <v/>
      </c>
      <c r="V100" s="18">
        <f>IF(O100&lt;&gt;"",V99+O100,V99)</f>
        <v/>
      </c>
    </row>
    <row r="101">
      <c r="A101" s="19" t="n"/>
      <c r="B101" s="20" t="n"/>
      <c r="C101" s="19" t="n"/>
      <c r="D101" s="19" t="n"/>
      <c r="E101" s="19" t="n"/>
      <c r="F101" s="21" t="n"/>
      <c r="G101" s="21" t="n"/>
      <c r="H101" s="21" t="n"/>
      <c r="I101" s="22" t="n"/>
      <c r="J101" s="21">
        <f>IFERROR(IF(AND(F101&lt;&gt;"",G101&lt;&gt;"",I101&lt;&gt;""),ABS(F101-G101)*I101,""),"")</f>
        <v/>
      </c>
      <c r="K101" s="23">
        <f>IFERROR(IF(AND(F101&lt;&gt;"",G101&lt;&gt;"",H101&lt;&gt;""),ABS(H101-F101)/ABS(F101-G101),""),"")</f>
        <v/>
      </c>
      <c r="L101" s="20" t="n"/>
      <c r="M101" s="21" t="n"/>
      <c r="N101" s="21" t="n"/>
      <c r="O101" s="24">
        <f>IFERROR(IF(AND(M101&lt;&gt;"",F101&lt;&gt;"",I101&lt;&gt;""),IF(D101="Long",(M101-F101)*I101-IF(N101&lt;&gt;"",N101,0),IF(D101="Short",(F101-M101)*I101-IF(N101&lt;&gt;"",N101,0),"")),""),"")</f>
        <v/>
      </c>
      <c r="P101" s="25">
        <f>IFERROR(IF(AND(O101&lt;&gt;"",F101&lt;&gt;"",I101&lt;&gt;""),O101/(F101*I101),""),"")</f>
        <v/>
      </c>
      <c r="Q101" s="26">
        <f>IFERROR(IF(AND(O101&lt;&gt;"",J101&lt;&gt;"",J101&lt;&gt;0),O101/J101,""),"")</f>
        <v/>
      </c>
      <c r="R101" s="27">
        <f>IFERROR(IF(AND(L101&lt;&gt;"",B101&lt;&gt;""),L101-B101,""),"")</f>
        <v/>
      </c>
      <c r="S101" s="19" t="n"/>
      <c r="T101" s="19" t="n"/>
      <c r="U101" s="17">
        <f>IF(O101&lt;&gt;"",100,"")</f>
        <v/>
      </c>
      <c r="V101" s="18">
        <f>IF(O101&lt;&gt;"",V100+O101,V100)</f>
        <v/>
      </c>
    </row>
    <row r="102">
      <c r="A102" s="8" t="n"/>
      <c r="B102" s="9" t="n"/>
      <c r="C102" s="8" t="n"/>
      <c r="D102" s="8" t="n"/>
      <c r="E102" s="8" t="n"/>
      <c r="F102" s="10" t="n"/>
      <c r="G102" s="10" t="n"/>
      <c r="H102" s="10" t="n"/>
      <c r="I102" s="11" t="n"/>
      <c r="J102" s="10">
        <f>IFERROR(IF(AND(F102&lt;&gt;"",G102&lt;&gt;"",I102&lt;&gt;""),ABS(F102-G102)*I102,""),"")</f>
        <v/>
      </c>
      <c r="K102" s="12">
        <f>IFERROR(IF(AND(F102&lt;&gt;"",G102&lt;&gt;"",H102&lt;&gt;""),ABS(H102-F102)/ABS(F102-G102),""),"")</f>
        <v/>
      </c>
      <c r="L102" s="9" t="n"/>
      <c r="M102" s="10" t="n"/>
      <c r="N102" s="10" t="n"/>
      <c r="O102" s="13">
        <f>IFERROR(IF(AND(M102&lt;&gt;"",F102&lt;&gt;"",I102&lt;&gt;""),IF(D102="Long",(M102-F102)*I102-IF(N102&lt;&gt;"",N102,0),IF(D102="Short",(F102-M102)*I102-IF(N102&lt;&gt;"",N102,0),"")),""),"")</f>
        <v/>
      </c>
      <c r="P102" s="14">
        <f>IFERROR(IF(AND(O102&lt;&gt;"",F102&lt;&gt;"",I102&lt;&gt;""),O102/(F102*I102),""),"")</f>
        <v/>
      </c>
      <c r="Q102" s="15">
        <f>IFERROR(IF(AND(O102&lt;&gt;"",J102&lt;&gt;"",J102&lt;&gt;0),O102/J102,""),"")</f>
        <v/>
      </c>
      <c r="R102" s="16">
        <f>IFERROR(IF(AND(L102&lt;&gt;"",B102&lt;&gt;""),L102-B102,""),"")</f>
        <v/>
      </c>
      <c r="S102" s="8" t="n"/>
      <c r="T102" s="8" t="n"/>
      <c r="U102" s="17">
        <f>IF(O102&lt;&gt;"",101,"")</f>
        <v/>
      </c>
      <c r="V102" s="18">
        <f>IF(O102&lt;&gt;"",V101+O102,V101)</f>
        <v/>
      </c>
    </row>
    <row r="103">
      <c r="A103" s="19" t="n"/>
      <c r="B103" s="20" t="n"/>
      <c r="C103" s="19" t="n"/>
      <c r="D103" s="19" t="n"/>
      <c r="E103" s="19" t="n"/>
      <c r="F103" s="21" t="n"/>
      <c r="G103" s="21" t="n"/>
      <c r="H103" s="21" t="n"/>
      <c r="I103" s="22" t="n"/>
      <c r="J103" s="21">
        <f>IFERROR(IF(AND(F103&lt;&gt;"",G103&lt;&gt;"",I103&lt;&gt;""),ABS(F103-G103)*I103,""),"")</f>
        <v/>
      </c>
      <c r="K103" s="23">
        <f>IFERROR(IF(AND(F103&lt;&gt;"",G103&lt;&gt;"",H103&lt;&gt;""),ABS(H103-F103)/ABS(F103-G103),""),"")</f>
        <v/>
      </c>
      <c r="L103" s="20" t="n"/>
      <c r="M103" s="21" t="n"/>
      <c r="N103" s="21" t="n"/>
      <c r="O103" s="24">
        <f>IFERROR(IF(AND(M103&lt;&gt;"",F103&lt;&gt;"",I103&lt;&gt;""),IF(D103="Long",(M103-F103)*I103-IF(N103&lt;&gt;"",N103,0),IF(D103="Short",(F103-M103)*I103-IF(N103&lt;&gt;"",N103,0),"")),""),"")</f>
        <v/>
      </c>
      <c r="P103" s="25">
        <f>IFERROR(IF(AND(O103&lt;&gt;"",F103&lt;&gt;"",I103&lt;&gt;""),O103/(F103*I103),""),"")</f>
        <v/>
      </c>
      <c r="Q103" s="26">
        <f>IFERROR(IF(AND(O103&lt;&gt;"",J103&lt;&gt;"",J103&lt;&gt;0),O103/J103,""),"")</f>
        <v/>
      </c>
      <c r="R103" s="27">
        <f>IFERROR(IF(AND(L103&lt;&gt;"",B103&lt;&gt;""),L103-B103,""),"")</f>
        <v/>
      </c>
      <c r="S103" s="19" t="n"/>
      <c r="T103" s="19" t="n"/>
      <c r="U103" s="17">
        <f>IF(O103&lt;&gt;"",102,"")</f>
        <v/>
      </c>
      <c r="V103" s="18">
        <f>IF(O103&lt;&gt;"",V102+O103,V102)</f>
        <v/>
      </c>
    </row>
    <row r="104">
      <c r="A104" s="8" t="n"/>
      <c r="B104" s="9" t="n"/>
      <c r="C104" s="8" t="n"/>
      <c r="D104" s="8" t="n"/>
      <c r="E104" s="8" t="n"/>
      <c r="F104" s="10" t="n"/>
      <c r="G104" s="10" t="n"/>
      <c r="H104" s="10" t="n"/>
      <c r="I104" s="11" t="n"/>
      <c r="J104" s="10">
        <f>IFERROR(IF(AND(F104&lt;&gt;"",G104&lt;&gt;"",I104&lt;&gt;""),ABS(F104-G104)*I104,""),"")</f>
        <v/>
      </c>
      <c r="K104" s="12">
        <f>IFERROR(IF(AND(F104&lt;&gt;"",G104&lt;&gt;"",H104&lt;&gt;""),ABS(H104-F104)/ABS(F104-G104),""),"")</f>
        <v/>
      </c>
      <c r="L104" s="9" t="n"/>
      <c r="M104" s="10" t="n"/>
      <c r="N104" s="10" t="n"/>
      <c r="O104" s="13">
        <f>IFERROR(IF(AND(M104&lt;&gt;"",F104&lt;&gt;"",I104&lt;&gt;""),IF(D104="Long",(M104-F104)*I104-IF(N104&lt;&gt;"",N104,0),IF(D104="Short",(F104-M104)*I104-IF(N104&lt;&gt;"",N104,0),"")),""),"")</f>
        <v/>
      </c>
      <c r="P104" s="14">
        <f>IFERROR(IF(AND(O104&lt;&gt;"",F104&lt;&gt;"",I104&lt;&gt;""),O104/(F104*I104),""),"")</f>
        <v/>
      </c>
      <c r="Q104" s="15">
        <f>IFERROR(IF(AND(O104&lt;&gt;"",J104&lt;&gt;"",J104&lt;&gt;0),O104/J104,""),"")</f>
        <v/>
      </c>
      <c r="R104" s="16">
        <f>IFERROR(IF(AND(L104&lt;&gt;"",B104&lt;&gt;""),L104-B104,""),"")</f>
        <v/>
      </c>
      <c r="S104" s="8" t="n"/>
      <c r="T104" s="8" t="n"/>
      <c r="U104" s="17">
        <f>IF(O104&lt;&gt;"",103,"")</f>
        <v/>
      </c>
      <c r="V104" s="18">
        <f>IF(O104&lt;&gt;"",V103+O104,V103)</f>
        <v/>
      </c>
    </row>
    <row r="105">
      <c r="A105" s="19" t="n"/>
      <c r="B105" s="20" t="n"/>
      <c r="C105" s="19" t="n"/>
      <c r="D105" s="19" t="n"/>
      <c r="E105" s="19" t="n"/>
      <c r="F105" s="21" t="n"/>
      <c r="G105" s="21" t="n"/>
      <c r="H105" s="21" t="n"/>
      <c r="I105" s="22" t="n"/>
      <c r="J105" s="21">
        <f>IFERROR(IF(AND(F105&lt;&gt;"",G105&lt;&gt;"",I105&lt;&gt;""),ABS(F105-G105)*I105,""),"")</f>
        <v/>
      </c>
      <c r="K105" s="23">
        <f>IFERROR(IF(AND(F105&lt;&gt;"",G105&lt;&gt;"",H105&lt;&gt;""),ABS(H105-F105)/ABS(F105-G105),""),"")</f>
        <v/>
      </c>
      <c r="L105" s="20" t="n"/>
      <c r="M105" s="21" t="n"/>
      <c r="N105" s="21" t="n"/>
      <c r="O105" s="24">
        <f>IFERROR(IF(AND(M105&lt;&gt;"",F105&lt;&gt;"",I105&lt;&gt;""),IF(D105="Long",(M105-F105)*I105-IF(N105&lt;&gt;"",N105,0),IF(D105="Short",(F105-M105)*I105-IF(N105&lt;&gt;"",N105,0),"")),""),"")</f>
        <v/>
      </c>
      <c r="P105" s="25">
        <f>IFERROR(IF(AND(O105&lt;&gt;"",F105&lt;&gt;"",I105&lt;&gt;""),O105/(F105*I105),""),"")</f>
        <v/>
      </c>
      <c r="Q105" s="26">
        <f>IFERROR(IF(AND(O105&lt;&gt;"",J105&lt;&gt;"",J105&lt;&gt;0),O105/J105,""),"")</f>
        <v/>
      </c>
      <c r="R105" s="27">
        <f>IFERROR(IF(AND(L105&lt;&gt;"",B105&lt;&gt;""),L105-B105,""),"")</f>
        <v/>
      </c>
      <c r="S105" s="19" t="n"/>
      <c r="T105" s="19" t="n"/>
      <c r="U105" s="17">
        <f>IF(O105&lt;&gt;"",104,"")</f>
        <v/>
      </c>
      <c r="V105" s="18">
        <f>IF(O105&lt;&gt;"",V104+O105,V104)</f>
        <v/>
      </c>
    </row>
    <row r="106">
      <c r="A106" s="8" t="n"/>
      <c r="B106" s="9" t="n"/>
      <c r="C106" s="8" t="n"/>
      <c r="D106" s="8" t="n"/>
      <c r="E106" s="8" t="n"/>
      <c r="F106" s="10" t="n"/>
      <c r="G106" s="10" t="n"/>
      <c r="H106" s="10" t="n"/>
      <c r="I106" s="11" t="n"/>
      <c r="J106" s="10">
        <f>IFERROR(IF(AND(F106&lt;&gt;"",G106&lt;&gt;"",I106&lt;&gt;""),ABS(F106-G106)*I106,""),"")</f>
        <v/>
      </c>
      <c r="K106" s="12">
        <f>IFERROR(IF(AND(F106&lt;&gt;"",G106&lt;&gt;"",H106&lt;&gt;""),ABS(H106-F106)/ABS(F106-G106),""),"")</f>
        <v/>
      </c>
      <c r="L106" s="9" t="n"/>
      <c r="M106" s="10" t="n"/>
      <c r="N106" s="10" t="n"/>
      <c r="O106" s="13">
        <f>IFERROR(IF(AND(M106&lt;&gt;"",F106&lt;&gt;"",I106&lt;&gt;""),IF(D106="Long",(M106-F106)*I106-IF(N106&lt;&gt;"",N106,0),IF(D106="Short",(F106-M106)*I106-IF(N106&lt;&gt;"",N106,0),"")),""),"")</f>
        <v/>
      </c>
      <c r="P106" s="14">
        <f>IFERROR(IF(AND(O106&lt;&gt;"",F106&lt;&gt;"",I106&lt;&gt;""),O106/(F106*I106),""),"")</f>
        <v/>
      </c>
      <c r="Q106" s="15">
        <f>IFERROR(IF(AND(O106&lt;&gt;"",J106&lt;&gt;"",J106&lt;&gt;0),O106/J106,""),"")</f>
        <v/>
      </c>
      <c r="R106" s="16">
        <f>IFERROR(IF(AND(L106&lt;&gt;"",B106&lt;&gt;""),L106-B106,""),"")</f>
        <v/>
      </c>
      <c r="S106" s="8" t="n"/>
      <c r="T106" s="8" t="n"/>
      <c r="U106" s="17">
        <f>IF(O106&lt;&gt;"",105,"")</f>
        <v/>
      </c>
      <c r="V106" s="18">
        <f>IF(O106&lt;&gt;"",V105+O106,V105)</f>
        <v/>
      </c>
    </row>
    <row r="107">
      <c r="A107" s="19" t="n"/>
      <c r="B107" s="20" t="n"/>
      <c r="C107" s="19" t="n"/>
      <c r="D107" s="19" t="n"/>
      <c r="E107" s="19" t="n"/>
      <c r="F107" s="21" t="n"/>
      <c r="G107" s="21" t="n"/>
      <c r="H107" s="21" t="n"/>
      <c r="I107" s="22" t="n"/>
      <c r="J107" s="21">
        <f>IFERROR(IF(AND(F107&lt;&gt;"",G107&lt;&gt;"",I107&lt;&gt;""),ABS(F107-G107)*I107,""),"")</f>
        <v/>
      </c>
      <c r="K107" s="23">
        <f>IFERROR(IF(AND(F107&lt;&gt;"",G107&lt;&gt;"",H107&lt;&gt;""),ABS(H107-F107)/ABS(F107-G107),""),"")</f>
        <v/>
      </c>
      <c r="L107" s="20" t="n"/>
      <c r="M107" s="21" t="n"/>
      <c r="N107" s="21" t="n"/>
      <c r="O107" s="24">
        <f>IFERROR(IF(AND(M107&lt;&gt;"",F107&lt;&gt;"",I107&lt;&gt;""),IF(D107="Long",(M107-F107)*I107-IF(N107&lt;&gt;"",N107,0),IF(D107="Short",(F107-M107)*I107-IF(N107&lt;&gt;"",N107,0),"")),""),"")</f>
        <v/>
      </c>
      <c r="P107" s="25">
        <f>IFERROR(IF(AND(O107&lt;&gt;"",F107&lt;&gt;"",I107&lt;&gt;""),O107/(F107*I107),""),"")</f>
        <v/>
      </c>
      <c r="Q107" s="26">
        <f>IFERROR(IF(AND(O107&lt;&gt;"",J107&lt;&gt;"",J107&lt;&gt;0),O107/J107,""),"")</f>
        <v/>
      </c>
      <c r="R107" s="27">
        <f>IFERROR(IF(AND(L107&lt;&gt;"",B107&lt;&gt;""),L107-B107,""),"")</f>
        <v/>
      </c>
      <c r="S107" s="19" t="n"/>
      <c r="T107" s="19" t="n"/>
      <c r="U107" s="17">
        <f>IF(O107&lt;&gt;"",106,"")</f>
        <v/>
      </c>
      <c r="V107" s="18">
        <f>IF(O107&lt;&gt;"",V106+O107,V106)</f>
        <v/>
      </c>
    </row>
    <row r="108">
      <c r="A108" s="8" t="n"/>
      <c r="B108" s="9" t="n"/>
      <c r="C108" s="8" t="n"/>
      <c r="D108" s="8" t="n"/>
      <c r="E108" s="8" t="n"/>
      <c r="F108" s="10" t="n"/>
      <c r="G108" s="10" t="n"/>
      <c r="H108" s="10" t="n"/>
      <c r="I108" s="11" t="n"/>
      <c r="J108" s="10">
        <f>IFERROR(IF(AND(F108&lt;&gt;"",G108&lt;&gt;"",I108&lt;&gt;""),ABS(F108-G108)*I108,""),"")</f>
        <v/>
      </c>
      <c r="K108" s="12">
        <f>IFERROR(IF(AND(F108&lt;&gt;"",G108&lt;&gt;"",H108&lt;&gt;""),ABS(H108-F108)/ABS(F108-G108),""),"")</f>
        <v/>
      </c>
      <c r="L108" s="9" t="n"/>
      <c r="M108" s="10" t="n"/>
      <c r="N108" s="10" t="n"/>
      <c r="O108" s="13">
        <f>IFERROR(IF(AND(M108&lt;&gt;"",F108&lt;&gt;"",I108&lt;&gt;""),IF(D108="Long",(M108-F108)*I108-IF(N108&lt;&gt;"",N108,0),IF(D108="Short",(F108-M108)*I108-IF(N108&lt;&gt;"",N108,0),"")),""),"")</f>
        <v/>
      </c>
      <c r="P108" s="14">
        <f>IFERROR(IF(AND(O108&lt;&gt;"",F108&lt;&gt;"",I108&lt;&gt;""),O108/(F108*I108),""),"")</f>
        <v/>
      </c>
      <c r="Q108" s="15">
        <f>IFERROR(IF(AND(O108&lt;&gt;"",J108&lt;&gt;"",J108&lt;&gt;0),O108/J108,""),"")</f>
        <v/>
      </c>
      <c r="R108" s="16">
        <f>IFERROR(IF(AND(L108&lt;&gt;"",B108&lt;&gt;""),L108-B108,""),"")</f>
        <v/>
      </c>
      <c r="S108" s="8" t="n"/>
      <c r="T108" s="8" t="n"/>
      <c r="U108" s="17">
        <f>IF(O108&lt;&gt;"",107,"")</f>
        <v/>
      </c>
      <c r="V108" s="18">
        <f>IF(O108&lt;&gt;"",V107+O108,V107)</f>
        <v/>
      </c>
    </row>
    <row r="109">
      <c r="A109" s="19" t="n"/>
      <c r="B109" s="20" t="n"/>
      <c r="C109" s="19" t="n"/>
      <c r="D109" s="19" t="n"/>
      <c r="E109" s="19" t="n"/>
      <c r="F109" s="21" t="n"/>
      <c r="G109" s="21" t="n"/>
      <c r="H109" s="21" t="n"/>
      <c r="I109" s="22" t="n"/>
      <c r="J109" s="21">
        <f>IFERROR(IF(AND(F109&lt;&gt;"",G109&lt;&gt;"",I109&lt;&gt;""),ABS(F109-G109)*I109,""),"")</f>
        <v/>
      </c>
      <c r="K109" s="23">
        <f>IFERROR(IF(AND(F109&lt;&gt;"",G109&lt;&gt;"",H109&lt;&gt;""),ABS(H109-F109)/ABS(F109-G109),""),"")</f>
        <v/>
      </c>
      <c r="L109" s="20" t="n"/>
      <c r="M109" s="21" t="n"/>
      <c r="N109" s="21" t="n"/>
      <c r="O109" s="24">
        <f>IFERROR(IF(AND(M109&lt;&gt;"",F109&lt;&gt;"",I109&lt;&gt;""),IF(D109="Long",(M109-F109)*I109-IF(N109&lt;&gt;"",N109,0),IF(D109="Short",(F109-M109)*I109-IF(N109&lt;&gt;"",N109,0),"")),""),"")</f>
        <v/>
      </c>
      <c r="P109" s="25">
        <f>IFERROR(IF(AND(O109&lt;&gt;"",F109&lt;&gt;"",I109&lt;&gt;""),O109/(F109*I109),""),"")</f>
        <v/>
      </c>
      <c r="Q109" s="26">
        <f>IFERROR(IF(AND(O109&lt;&gt;"",J109&lt;&gt;"",J109&lt;&gt;0),O109/J109,""),"")</f>
        <v/>
      </c>
      <c r="R109" s="27">
        <f>IFERROR(IF(AND(L109&lt;&gt;"",B109&lt;&gt;""),L109-B109,""),"")</f>
        <v/>
      </c>
      <c r="S109" s="19" t="n"/>
      <c r="T109" s="19" t="n"/>
      <c r="U109" s="17">
        <f>IF(O109&lt;&gt;"",108,"")</f>
        <v/>
      </c>
      <c r="V109" s="18">
        <f>IF(O109&lt;&gt;"",V108+O109,V108)</f>
        <v/>
      </c>
    </row>
    <row r="110">
      <c r="A110" s="8" t="n"/>
      <c r="B110" s="9" t="n"/>
      <c r="C110" s="8" t="n"/>
      <c r="D110" s="8" t="n"/>
      <c r="E110" s="8" t="n"/>
      <c r="F110" s="10" t="n"/>
      <c r="G110" s="10" t="n"/>
      <c r="H110" s="10" t="n"/>
      <c r="I110" s="11" t="n"/>
      <c r="J110" s="10">
        <f>IFERROR(IF(AND(F110&lt;&gt;"",G110&lt;&gt;"",I110&lt;&gt;""),ABS(F110-G110)*I110,""),"")</f>
        <v/>
      </c>
      <c r="K110" s="12">
        <f>IFERROR(IF(AND(F110&lt;&gt;"",G110&lt;&gt;"",H110&lt;&gt;""),ABS(H110-F110)/ABS(F110-G110),""),"")</f>
        <v/>
      </c>
      <c r="L110" s="9" t="n"/>
      <c r="M110" s="10" t="n"/>
      <c r="N110" s="10" t="n"/>
      <c r="O110" s="13">
        <f>IFERROR(IF(AND(M110&lt;&gt;"",F110&lt;&gt;"",I110&lt;&gt;""),IF(D110="Long",(M110-F110)*I110-IF(N110&lt;&gt;"",N110,0),IF(D110="Short",(F110-M110)*I110-IF(N110&lt;&gt;"",N110,0),"")),""),"")</f>
        <v/>
      </c>
      <c r="P110" s="14">
        <f>IFERROR(IF(AND(O110&lt;&gt;"",F110&lt;&gt;"",I110&lt;&gt;""),O110/(F110*I110),""),"")</f>
        <v/>
      </c>
      <c r="Q110" s="15">
        <f>IFERROR(IF(AND(O110&lt;&gt;"",J110&lt;&gt;"",J110&lt;&gt;0),O110/J110,""),"")</f>
        <v/>
      </c>
      <c r="R110" s="16">
        <f>IFERROR(IF(AND(L110&lt;&gt;"",B110&lt;&gt;""),L110-B110,""),"")</f>
        <v/>
      </c>
      <c r="S110" s="8" t="n"/>
      <c r="T110" s="8" t="n"/>
      <c r="U110" s="17">
        <f>IF(O110&lt;&gt;"",109,"")</f>
        <v/>
      </c>
      <c r="V110" s="18">
        <f>IF(O110&lt;&gt;"",V109+O110,V109)</f>
        <v/>
      </c>
    </row>
    <row r="111">
      <c r="A111" s="19" t="n"/>
      <c r="B111" s="20" t="n"/>
      <c r="C111" s="19" t="n"/>
      <c r="D111" s="19" t="n"/>
      <c r="E111" s="19" t="n"/>
      <c r="F111" s="21" t="n"/>
      <c r="G111" s="21" t="n"/>
      <c r="H111" s="21" t="n"/>
      <c r="I111" s="22" t="n"/>
      <c r="J111" s="21">
        <f>IFERROR(IF(AND(F111&lt;&gt;"",G111&lt;&gt;"",I111&lt;&gt;""),ABS(F111-G111)*I111,""),"")</f>
        <v/>
      </c>
      <c r="K111" s="23">
        <f>IFERROR(IF(AND(F111&lt;&gt;"",G111&lt;&gt;"",H111&lt;&gt;""),ABS(H111-F111)/ABS(F111-G111),""),"")</f>
        <v/>
      </c>
      <c r="L111" s="20" t="n"/>
      <c r="M111" s="21" t="n"/>
      <c r="N111" s="21" t="n"/>
      <c r="O111" s="24">
        <f>IFERROR(IF(AND(M111&lt;&gt;"",F111&lt;&gt;"",I111&lt;&gt;""),IF(D111="Long",(M111-F111)*I111-IF(N111&lt;&gt;"",N111,0),IF(D111="Short",(F111-M111)*I111-IF(N111&lt;&gt;"",N111,0),"")),""),"")</f>
        <v/>
      </c>
      <c r="P111" s="25">
        <f>IFERROR(IF(AND(O111&lt;&gt;"",F111&lt;&gt;"",I111&lt;&gt;""),O111/(F111*I111),""),"")</f>
        <v/>
      </c>
      <c r="Q111" s="26">
        <f>IFERROR(IF(AND(O111&lt;&gt;"",J111&lt;&gt;"",J111&lt;&gt;0),O111/J111,""),"")</f>
        <v/>
      </c>
      <c r="R111" s="27">
        <f>IFERROR(IF(AND(L111&lt;&gt;"",B111&lt;&gt;""),L111-B111,""),"")</f>
        <v/>
      </c>
      <c r="S111" s="19" t="n"/>
      <c r="T111" s="19" t="n"/>
      <c r="U111" s="17">
        <f>IF(O111&lt;&gt;"",110,"")</f>
        <v/>
      </c>
      <c r="V111" s="18">
        <f>IF(O111&lt;&gt;"",V110+O111,V110)</f>
        <v/>
      </c>
    </row>
    <row r="112">
      <c r="A112" s="8" t="n"/>
      <c r="B112" s="9" t="n"/>
      <c r="C112" s="8" t="n"/>
      <c r="D112" s="8" t="n"/>
      <c r="E112" s="8" t="n"/>
      <c r="F112" s="10" t="n"/>
      <c r="G112" s="10" t="n"/>
      <c r="H112" s="10" t="n"/>
      <c r="I112" s="11" t="n"/>
      <c r="J112" s="10">
        <f>IFERROR(IF(AND(F112&lt;&gt;"",G112&lt;&gt;"",I112&lt;&gt;""),ABS(F112-G112)*I112,""),"")</f>
        <v/>
      </c>
      <c r="K112" s="12">
        <f>IFERROR(IF(AND(F112&lt;&gt;"",G112&lt;&gt;"",H112&lt;&gt;""),ABS(H112-F112)/ABS(F112-G112),""),"")</f>
        <v/>
      </c>
      <c r="L112" s="9" t="n"/>
      <c r="M112" s="10" t="n"/>
      <c r="N112" s="10" t="n"/>
      <c r="O112" s="13">
        <f>IFERROR(IF(AND(M112&lt;&gt;"",F112&lt;&gt;"",I112&lt;&gt;""),IF(D112="Long",(M112-F112)*I112-IF(N112&lt;&gt;"",N112,0),IF(D112="Short",(F112-M112)*I112-IF(N112&lt;&gt;"",N112,0),"")),""),"")</f>
        <v/>
      </c>
      <c r="P112" s="14">
        <f>IFERROR(IF(AND(O112&lt;&gt;"",F112&lt;&gt;"",I112&lt;&gt;""),O112/(F112*I112),""),"")</f>
        <v/>
      </c>
      <c r="Q112" s="15">
        <f>IFERROR(IF(AND(O112&lt;&gt;"",J112&lt;&gt;"",J112&lt;&gt;0),O112/J112,""),"")</f>
        <v/>
      </c>
      <c r="R112" s="16">
        <f>IFERROR(IF(AND(L112&lt;&gt;"",B112&lt;&gt;""),L112-B112,""),"")</f>
        <v/>
      </c>
      <c r="S112" s="8" t="n"/>
      <c r="T112" s="8" t="n"/>
      <c r="U112" s="17">
        <f>IF(O112&lt;&gt;"",111,"")</f>
        <v/>
      </c>
      <c r="V112" s="18">
        <f>IF(O112&lt;&gt;"",V111+O112,V111)</f>
        <v/>
      </c>
    </row>
    <row r="113">
      <c r="A113" s="19" t="n"/>
      <c r="B113" s="20" t="n"/>
      <c r="C113" s="19" t="n"/>
      <c r="D113" s="19" t="n"/>
      <c r="E113" s="19" t="n"/>
      <c r="F113" s="21" t="n"/>
      <c r="G113" s="21" t="n"/>
      <c r="H113" s="21" t="n"/>
      <c r="I113" s="22" t="n"/>
      <c r="J113" s="21">
        <f>IFERROR(IF(AND(F113&lt;&gt;"",G113&lt;&gt;"",I113&lt;&gt;""),ABS(F113-G113)*I113,""),"")</f>
        <v/>
      </c>
      <c r="K113" s="23">
        <f>IFERROR(IF(AND(F113&lt;&gt;"",G113&lt;&gt;"",H113&lt;&gt;""),ABS(H113-F113)/ABS(F113-G113),""),"")</f>
        <v/>
      </c>
      <c r="L113" s="20" t="n"/>
      <c r="M113" s="21" t="n"/>
      <c r="N113" s="21" t="n"/>
      <c r="O113" s="24">
        <f>IFERROR(IF(AND(M113&lt;&gt;"",F113&lt;&gt;"",I113&lt;&gt;""),IF(D113="Long",(M113-F113)*I113-IF(N113&lt;&gt;"",N113,0),IF(D113="Short",(F113-M113)*I113-IF(N113&lt;&gt;"",N113,0),"")),""),"")</f>
        <v/>
      </c>
      <c r="P113" s="25">
        <f>IFERROR(IF(AND(O113&lt;&gt;"",F113&lt;&gt;"",I113&lt;&gt;""),O113/(F113*I113),""),"")</f>
        <v/>
      </c>
      <c r="Q113" s="26">
        <f>IFERROR(IF(AND(O113&lt;&gt;"",J113&lt;&gt;"",J113&lt;&gt;0),O113/J113,""),"")</f>
        <v/>
      </c>
      <c r="R113" s="27">
        <f>IFERROR(IF(AND(L113&lt;&gt;"",B113&lt;&gt;""),L113-B113,""),"")</f>
        <v/>
      </c>
      <c r="S113" s="19" t="n"/>
      <c r="T113" s="19" t="n"/>
      <c r="U113" s="17">
        <f>IF(O113&lt;&gt;"",112,"")</f>
        <v/>
      </c>
      <c r="V113" s="18">
        <f>IF(O113&lt;&gt;"",V112+O113,V112)</f>
        <v/>
      </c>
    </row>
    <row r="114">
      <c r="A114" s="8" t="n"/>
      <c r="B114" s="9" t="n"/>
      <c r="C114" s="8" t="n"/>
      <c r="D114" s="8" t="n"/>
      <c r="E114" s="8" t="n"/>
      <c r="F114" s="10" t="n"/>
      <c r="G114" s="10" t="n"/>
      <c r="H114" s="10" t="n"/>
      <c r="I114" s="11" t="n"/>
      <c r="J114" s="10">
        <f>IFERROR(IF(AND(F114&lt;&gt;"",G114&lt;&gt;"",I114&lt;&gt;""),ABS(F114-G114)*I114,""),"")</f>
        <v/>
      </c>
      <c r="K114" s="12">
        <f>IFERROR(IF(AND(F114&lt;&gt;"",G114&lt;&gt;"",H114&lt;&gt;""),ABS(H114-F114)/ABS(F114-G114),""),"")</f>
        <v/>
      </c>
      <c r="L114" s="9" t="n"/>
      <c r="M114" s="10" t="n"/>
      <c r="N114" s="10" t="n"/>
      <c r="O114" s="13">
        <f>IFERROR(IF(AND(M114&lt;&gt;"",F114&lt;&gt;"",I114&lt;&gt;""),IF(D114="Long",(M114-F114)*I114-IF(N114&lt;&gt;"",N114,0),IF(D114="Short",(F114-M114)*I114-IF(N114&lt;&gt;"",N114,0),"")),""),"")</f>
        <v/>
      </c>
      <c r="P114" s="14">
        <f>IFERROR(IF(AND(O114&lt;&gt;"",F114&lt;&gt;"",I114&lt;&gt;""),O114/(F114*I114),""),"")</f>
        <v/>
      </c>
      <c r="Q114" s="15">
        <f>IFERROR(IF(AND(O114&lt;&gt;"",J114&lt;&gt;"",J114&lt;&gt;0),O114/J114,""),"")</f>
        <v/>
      </c>
      <c r="R114" s="16">
        <f>IFERROR(IF(AND(L114&lt;&gt;"",B114&lt;&gt;""),L114-B114,""),"")</f>
        <v/>
      </c>
      <c r="S114" s="8" t="n"/>
      <c r="T114" s="8" t="n"/>
      <c r="U114" s="17">
        <f>IF(O114&lt;&gt;"",113,"")</f>
        <v/>
      </c>
      <c r="V114" s="18">
        <f>IF(O114&lt;&gt;"",V113+O114,V113)</f>
        <v/>
      </c>
    </row>
    <row r="115">
      <c r="A115" s="19" t="n"/>
      <c r="B115" s="20" t="n"/>
      <c r="C115" s="19" t="n"/>
      <c r="D115" s="19" t="n"/>
      <c r="E115" s="19" t="n"/>
      <c r="F115" s="21" t="n"/>
      <c r="G115" s="21" t="n"/>
      <c r="H115" s="21" t="n"/>
      <c r="I115" s="22" t="n"/>
      <c r="J115" s="21">
        <f>IFERROR(IF(AND(F115&lt;&gt;"",G115&lt;&gt;"",I115&lt;&gt;""),ABS(F115-G115)*I115,""),"")</f>
        <v/>
      </c>
      <c r="K115" s="23">
        <f>IFERROR(IF(AND(F115&lt;&gt;"",G115&lt;&gt;"",H115&lt;&gt;""),ABS(H115-F115)/ABS(F115-G115),""),"")</f>
        <v/>
      </c>
      <c r="L115" s="20" t="n"/>
      <c r="M115" s="21" t="n"/>
      <c r="N115" s="21" t="n"/>
      <c r="O115" s="24">
        <f>IFERROR(IF(AND(M115&lt;&gt;"",F115&lt;&gt;"",I115&lt;&gt;""),IF(D115="Long",(M115-F115)*I115-IF(N115&lt;&gt;"",N115,0),IF(D115="Short",(F115-M115)*I115-IF(N115&lt;&gt;"",N115,0),"")),""),"")</f>
        <v/>
      </c>
      <c r="P115" s="25">
        <f>IFERROR(IF(AND(O115&lt;&gt;"",F115&lt;&gt;"",I115&lt;&gt;""),O115/(F115*I115),""),"")</f>
        <v/>
      </c>
      <c r="Q115" s="26">
        <f>IFERROR(IF(AND(O115&lt;&gt;"",J115&lt;&gt;"",J115&lt;&gt;0),O115/J115,""),"")</f>
        <v/>
      </c>
      <c r="R115" s="27">
        <f>IFERROR(IF(AND(L115&lt;&gt;"",B115&lt;&gt;""),L115-B115,""),"")</f>
        <v/>
      </c>
      <c r="S115" s="19" t="n"/>
      <c r="T115" s="19" t="n"/>
      <c r="U115" s="17">
        <f>IF(O115&lt;&gt;"",114,"")</f>
        <v/>
      </c>
      <c r="V115" s="18">
        <f>IF(O115&lt;&gt;"",V114+O115,V114)</f>
        <v/>
      </c>
    </row>
    <row r="116">
      <c r="A116" s="8" t="n"/>
      <c r="B116" s="9" t="n"/>
      <c r="C116" s="8" t="n"/>
      <c r="D116" s="8" t="n"/>
      <c r="E116" s="8" t="n"/>
      <c r="F116" s="10" t="n"/>
      <c r="G116" s="10" t="n"/>
      <c r="H116" s="10" t="n"/>
      <c r="I116" s="11" t="n"/>
      <c r="J116" s="10">
        <f>IFERROR(IF(AND(F116&lt;&gt;"",G116&lt;&gt;"",I116&lt;&gt;""),ABS(F116-G116)*I116,""),"")</f>
        <v/>
      </c>
      <c r="K116" s="12">
        <f>IFERROR(IF(AND(F116&lt;&gt;"",G116&lt;&gt;"",H116&lt;&gt;""),ABS(H116-F116)/ABS(F116-G116),""),"")</f>
        <v/>
      </c>
      <c r="L116" s="9" t="n"/>
      <c r="M116" s="10" t="n"/>
      <c r="N116" s="10" t="n"/>
      <c r="O116" s="13">
        <f>IFERROR(IF(AND(M116&lt;&gt;"",F116&lt;&gt;"",I116&lt;&gt;""),IF(D116="Long",(M116-F116)*I116-IF(N116&lt;&gt;"",N116,0),IF(D116="Short",(F116-M116)*I116-IF(N116&lt;&gt;"",N116,0),"")),""),"")</f>
        <v/>
      </c>
      <c r="P116" s="14">
        <f>IFERROR(IF(AND(O116&lt;&gt;"",F116&lt;&gt;"",I116&lt;&gt;""),O116/(F116*I116),""),"")</f>
        <v/>
      </c>
      <c r="Q116" s="15">
        <f>IFERROR(IF(AND(O116&lt;&gt;"",J116&lt;&gt;"",J116&lt;&gt;0),O116/J116,""),"")</f>
        <v/>
      </c>
      <c r="R116" s="16">
        <f>IFERROR(IF(AND(L116&lt;&gt;"",B116&lt;&gt;""),L116-B116,""),"")</f>
        <v/>
      </c>
      <c r="S116" s="8" t="n"/>
      <c r="T116" s="8" t="n"/>
      <c r="U116" s="17">
        <f>IF(O116&lt;&gt;"",115,"")</f>
        <v/>
      </c>
      <c r="V116" s="18">
        <f>IF(O116&lt;&gt;"",V115+O116,V115)</f>
        <v/>
      </c>
    </row>
    <row r="117">
      <c r="A117" s="19" t="n"/>
      <c r="B117" s="20" t="n"/>
      <c r="C117" s="19" t="n"/>
      <c r="D117" s="19" t="n"/>
      <c r="E117" s="19" t="n"/>
      <c r="F117" s="21" t="n"/>
      <c r="G117" s="21" t="n"/>
      <c r="H117" s="21" t="n"/>
      <c r="I117" s="22" t="n"/>
      <c r="J117" s="21">
        <f>IFERROR(IF(AND(F117&lt;&gt;"",G117&lt;&gt;"",I117&lt;&gt;""),ABS(F117-G117)*I117,""),"")</f>
        <v/>
      </c>
      <c r="K117" s="23">
        <f>IFERROR(IF(AND(F117&lt;&gt;"",G117&lt;&gt;"",H117&lt;&gt;""),ABS(H117-F117)/ABS(F117-G117),""),"")</f>
        <v/>
      </c>
      <c r="L117" s="20" t="n"/>
      <c r="M117" s="21" t="n"/>
      <c r="N117" s="21" t="n"/>
      <c r="O117" s="24">
        <f>IFERROR(IF(AND(M117&lt;&gt;"",F117&lt;&gt;"",I117&lt;&gt;""),IF(D117="Long",(M117-F117)*I117-IF(N117&lt;&gt;"",N117,0),IF(D117="Short",(F117-M117)*I117-IF(N117&lt;&gt;"",N117,0),"")),""),"")</f>
        <v/>
      </c>
      <c r="P117" s="25">
        <f>IFERROR(IF(AND(O117&lt;&gt;"",F117&lt;&gt;"",I117&lt;&gt;""),O117/(F117*I117),""),"")</f>
        <v/>
      </c>
      <c r="Q117" s="26">
        <f>IFERROR(IF(AND(O117&lt;&gt;"",J117&lt;&gt;"",J117&lt;&gt;0),O117/J117,""),"")</f>
        <v/>
      </c>
      <c r="R117" s="27">
        <f>IFERROR(IF(AND(L117&lt;&gt;"",B117&lt;&gt;""),L117-B117,""),"")</f>
        <v/>
      </c>
      <c r="S117" s="19" t="n"/>
      <c r="T117" s="19" t="n"/>
      <c r="U117" s="17">
        <f>IF(O117&lt;&gt;"",116,"")</f>
        <v/>
      </c>
      <c r="V117" s="18">
        <f>IF(O117&lt;&gt;"",V116+O117,V116)</f>
        <v/>
      </c>
    </row>
    <row r="118">
      <c r="A118" s="8" t="n"/>
      <c r="B118" s="9" t="n"/>
      <c r="C118" s="8" t="n"/>
      <c r="D118" s="8" t="n"/>
      <c r="E118" s="8" t="n"/>
      <c r="F118" s="10" t="n"/>
      <c r="G118" s="10" t="n"/>
      <c r="H118" s="10" t="n"/>
      <c r="I118" s="11" t="n"/>
      <c r="J118" s="10">
        <f>IFERROR(IF(AND(F118&lt;&gt;"",G118&lt;&gt;"",I118&lt;&gt;""),ABS(F118-G118)*I118,""),"")</f>
        <v/>
      </c>
      <c r="K118" s="12">
        <f>IFERROR(IF(AND(F118&lt;&gt;"",G118&lt;&gt;"",H118&lt;&gt;""),ABS(H118-F118)/ABS(F118-G118),""),"")</f>
        <v/>
      </c>
      <c r="L118" s="9" t="n"/>
      <c r="M118" s="10" t="n"/>
      <c r="N118" s="10" t="n"/>
      <c r="O118" s="13">
        <f>IFERROR(IF(AND(M118&lt;&gt;"",F118&lt;&gt;"",I118&lt;&gt;""),IF(D118="Long",(M118-F118)*I118-IF(N118&lt;&gt;"",N118,0),IF(D118="Short",(F118-M118)*I118-IF(N118&lt;&gt;"",N118,0),"")),""),"")</f>
        <v/>
      </c>
      <c r="P118" s="14">
        <f>IFERROR(IF(AND(O118&lt;&gt;"",F118&lt;&gt;"",I118&lt;&gt;""),O118/(F118*I118),""),"")</f>
        <v/>
      </c>
      <c r="Q118" s="15">
        <f>IFERROR(IF(AND(O118&lt;&gt;"",J118&lt;&gt;"",J118&lt;&gt;0),O118/J118,""),"")</f>
        <v/>
      </c>
      <c r="R118" s="16">
        <f>IFERROR(IF(AND(L118&lt;&gt;"",B118&lt;&gt;""),L118-B118,""),"")</f>
        <v/>
      </c>
      <c r="S118" s="8" t="n"/>
      <c r="T118" s="8" t="n"/>
      <c r="U118" s="17">
        <f>IF(O118&lt;&gt;"",117,"")</f>
        <v/>
      </c>
      <c r="V118" s="18">
        <f>IF(O118&lt;&gt;"",V117+O118,V117)</f>
        <v/>
      </c>
    </row>
    <row r="119">
      <c r="A119" s="19" t="n"/>
      <c r="B119" s="20" t="n"/>
      <c r="C119" s="19" t="n"/>
      <c r="D119" s="19" t="n"/>
      <c r="E119" s="19" t="n"/>
      <c r="F119" s="21" t="n"/>
      <c r="G119" s="21" t="n"/>
      <c r="H119" s="21" t="n"/>
      <c r="I119" s="22" t="n"/>
      <c r="J119" s="21">
        <f>IFERROR(IF(AND(F119&lt;&gt;"",G119&lt;&gt;"",I119&lt;&gt;""),ABS(F119-G119)*I119,""),"")</f>
        <v/>
      </c>
      <c r="K119" s="23">
        <f>IFERROR(IF(AND(F119&lt;&gt;"",G119&lt;&gt;"",H119&lt;&gt;""),ABS(H119-F119)/ABS(F119-G119),""),"")</f>
        <v/>
      </c>
      <c r="L119" s="20" t="n"/>
      <c r="M119" s="21" t="n"/>
      <c r="N119" s="21" t="n"/>
      <c r="O119" s="24">
        <f>IFERROR(IF(AND(M119&lt;&gt;"",F119&lt;&gt;"",I119&lt;&gt;""),IF(D119="Long",(M119-F119)*I119-IF(N119&lt;&gt;"",N119,0),IF(D119="Short",(F119-M119)*I119-IF(N119&lt;&gt;"",N119,0),"")),""),"")</f>
        <v/>
      </c>
      <c r="P119" s="25">
        <f>IFERROR(IF(AND(O119&lt;&gt;"",F119&lt;&gt;"",I119&lt;&gt;""),O119/(F119*I119),""),"")</f>
        <v/>
      </c>
      <c r="Q119" s="26">
        <f>IFERROR(IF(AND(O119&lt;&gt;"",J119&lt;&gt;"",J119&lt;&gt;0),O119/J119,""),"")</f>
        <v/>
      </c>
      <c r="R119" s="27">
        <f>IFERROR(IF(AND(L119&lt;&gt;"",B119&lt;&gt;""),L119-B119,""),"")</f>
        <v/>
      </c>
      <c r="S119" s="19" t="n"/>
      <c r="T119" s="19" t="n"/>
      <c r="U119" s="17">
        <f>IF(O119&lt;&gt;"",118,"")</f>
        <v/>
      </c>
      <c r="V119" s="18">
        <f>IF(O119&lt;&gt;"",V118+O119,V118)</f>
        <v/>
      </c>
    </row>
    <row r="120">
      <c r="A120" s="8" t="n"/>
      <c r="B120" s="9" t="n"/>
      <c r="C120" s="8" t="n"/>
      <c r="D120" s="8" t="n"/>
      <c r="E120" s="8" t="n"/>
      <c r="F120" s="10" t="n"/>
      <c r="G120" s="10" t="n"/>
      <c r="H120" s="10" t="n"/>
      <c r="I120" s="11" t="n"/>
      <c r="J120" s="10">
        <f>IFERROR(IF(AND(F120&lt;&gt;"",G120&lt;&gt;"",I120&lt;&gt;""),ABS(F120-G120)*I120,""),"")</f>
        <v/>
      </c>
      <c r="K120" s="12">
        <f>IFERROR(IF(AND(F120&lt;&gt;"",G120&lt;&gt;"",H120&lt;&gt;""),ABS(H120-F120)/ABS(F120-G120),""),"")</f>
        <v/>
      </c>
      <c r="L120" s="9" t="n"/>
      <c r="M120" s="10" t="n"/>
      <c r="N120" s="10" t="n"/>
      <c r="O120" s="13">
        <f>IFERROR(IF(AND(M120&lt;&gt;"",F120&lt;&gt;"",I120&lt;&gt;""),IF(D120="Long",(M120-F120)*I120-IF(N120&lt;&gt;"",N120,0),IF(D120="Short",(F120-M120)*I120-IF(N120&lt;&gt;"",N120,0),"")),""),"")</f>
        <v/>
      </c>
      <c r="P120" s="14">
        <f>IFERROR(IF(AND(O120&lt;&gt;"",F120&lt;&gt;"",I120&lt;&gt;""),O120/(F120*I120),""),"")</f>
        <v/>
      </c>
      <c r="Q120" s="15">
        <f>IFERROR(IF(AND(O120&lt;&gt;"",J120&lt;&gt;"",J120&lt;&gt;0),O120/J120,""),"")</f>
        <v/>
      </c>
      <c r="R120" s="16">
        <f>IFERROR(IF(AND(L120&lt;&gt;"",B120&lt;&gt;""),L120-B120,""),"")</f>
        <v/>
      </c>
      <c r="S120" s="8" t="n"/>
      <c r="T120" s="8" t="n"/>
      <c r="U120" s="17">
        <f>IF(O120&lt;&gt;"",119,"")</f>
        <v/>
      </c>
      <c r="V120" s="18">
        <f>IF(O120&lt;&gt;"",V119+O120,V119)</f>
        <v/>
      </c>
    </row>
    <row r="121">
      <c r="A121" s="19" t="n"/>
      <c r="B121" s="20" t="n"/>
      <c r="C121" s="19" t="n"/>
      <c r="D121" s="19" t="n"/>
      <c r="E121" s="19" t="n"/>
      <c r="F121" s="21" t="n"/>
      <c r="G121" s="21" t="n"/>
      <c r="H121" s="21" t="n"/>
      <c r="I121" s="22" t="n"/>
      <c r="J121" s="21">
        <f>IFERROR(IF(AND(F121&lt;&gt;"",G121&lt;&gt;"",I121&lt;&gt;""),ABS(F121-G121)*I121,""),"")</f>
        <v/>
      </c>
      <c r="K121" s="23">
        <f>IFERROR(IF(AND(F121&lt;&gt;"",G121&lt;&gt;"",H121&lt;&gt;""),ABS(H121-F121)/ABS(F121-G121),""),"")</f>
        <v/>
      </c>
      <c r="L121" s="20" t="n"/>
      <c r="M121" s="21" t="n"/>
      <c r="N121" s="21" t="n"/>
      <c r="O121" s="24">
        <f>IFERROR(IF(AND(M121&lt;&gt;"",F121&lt;&gt;"",I121&lt;&gt;""),IF(D121="Long",(M121-F121)*I121-IF(N121&lt;&gt;"",N121,0),IF(D121="Short",(F121-M121)*I121-IF(N121&lt;&gt;"",N121,0),"")),""),"")</f>
        <v/>
      </c>
      <c r="P121" s="25">
        <f>IFERROR(IF(AND(O121&lt;&gt;"",F121&lt;&gt;"",I121&lt;&gt;""),O121/(F121*I121),""),"")</f>
        <v/>
      </c>
      <c r="Q121" s="26">
        <f>IFERROR(IF(AND(O121&lt;&gt;"",J121&lt;&gt;"",J121&lt;&gt;0),O121/J121,""),"")</f>
        <v/>
      </c>
      <c r="R121" s="27">
        <f>IFERROR(IF(AND(L121&lt;&gt;"",B121&lt;&gt;""),L121-B121,""),"")</f>
        <v/>
      </c>
      <c r="S121" s="19" t="n"/>
      <c r="T121" s="19" t="n"/>
      <c r="U121" s="17">
        <f>IF(O121&lt;&gt;"",120,"")</f>
        <v/>
      </c>
      <c r="V121" s="18">
        <f>IF(O121&lt;&gt;"",V120+O121,V120)</f>
        <v/>
      </c>
    </row>
    <row r="122">
      <c r="A122" s="8" t="n"/>
      <c r="B122" s="9" t="n"/>
      <c r="C122" s="8" t="n"/>
      <c r="D122" s="8" t="n"/>
      <c r="E122" s="8" t="n"/>
      <c r="F122" s="10" t="n"/>
      <c r="G122" s="10" t="n"/>
      <c r="H122" s="10" t="n"/>
      <c r="I122" s="11" t="n"/>
      <c r="J122" s="10">
        <f>IFERROR(IF(AND(F122&lt;&gt;"",G122&lt;&gt;"",I122&lt;&gt;""),ABS(F122-G122)*I122,""),"")</f>
        <v/>
      </c>
      <c r="K122" s="12">
        <f>IFERROR(IF(AND(F122&lt;&gt;"",G122&lt;&gt;"",H122&lt;&gt;""),ABS(H122-F122)/ABS(F122-G122),""),"")</f>
        <v/>
      </c>
      <c r="L122" s="9" t="n"/>
      <c r="M122" s="10" t="n"/>
      <c r="N122" s="10" t="n"/>
      <c r="O122" s="13">
        <f>IFERROR(IF(AND(M122&lt;&gt;"",F122&lt;&gt;"",I122&lt;&gt;""),IF(D122="Long",(M122-F122)*I122-IF(N122&lt;&gt;"",N122,0),IF(D122="Short",(F122-M122)*I122-IF(N122&lt;&gt;"",N122,0),"")),""),"")</f>
        <v/>
      </c>
      <c r="P122" s="14">
        <f>IFERROR(IF(AND(O122&lt;&gt;"",F122&lt;&gt;"",I122&lt;&gt;""),O122/(F122*I122),""),"")</f>
        <v/>
      </c>
      <c r="Q122" s="15">
        <f>IFERROR(IF(AND(O122&lt;&gt;"",J122&lt;&gt;"",J122&lt;&gt;0),O122/J122,""),"")</f>
        <v/>
      </c>
      <c r="R122" s="16">
        <f>IFERROR(IF(AND(L122&lt;&gt;"",B122&lt;&gt;""),L122-B122,""),"")</f>
        <v/>
      </c>
      <c r="S122" s="8" t="n"/>
      <c r="T122" s="8" t="n"/>
      <c r="U122" s="17">
        <f>IF(O122&lt;&gt;"",121,"")</f>
        <v/>
      </c>
      <c r="V122" s="18">
        <f>IF(O122&lt;&gt;"",V121+O122,V121)</f>
        <v/>
      </c>
    </row>
    <row r="123">
      <c r="A123" s="19" t="n"/>
      <c r="B123" s="20" t="n"/>
      <c r="C123" s="19" t="n"/>
      <c r="D123" s="19" t="n"/>
      <c r="E123" s="19" t="n"/>
      <c r="F123" s="21" t="n"/>
      <c r="G123" s="21" t="n"/>
      <c r="H123" s="21" t="n"/>
      <c r="I123" s="22" t="n"/>
      <c r="J123" s="21">
        <f>IFERROR(IF(AND(F123&lt;&gt;"",G123&lt;&gt;"",I123&lt;&gt;""),ABS(F123-G123)*I123,""),"")</f>
        <v/>
      </c>
      <c r="K123" s="23">
        <f>IFERROR(IF(AND(F123&lt;&gt;"",G123&lt;&gt;"",H123&lt;&gt;""),ABS(H123-F123)/ABS(F123-G123),""),"")</f>
        <v/>
      </c>
      <c r="L123" s="20" t="n"/>
      <c r="M123" s="21" t="n"/>
      <c r="N123" s="21" t="n"/>
      <c r="O123" s="24">
        <f>IFERROR(IF(AND(M123&lt;&gt;"",F123&lt;&gt;"",I123&lt;&gt;""),IF(D123="Long",(M123-F123)*I123-IF(N123&lt;&gt;"",N123,0),IF(D123="Short",(F123-M123)*I123-IF(N123&lt;&gt;"",N123,0),"")),""),"")</f>
        <v/>
      </c>
      <c r="P123" s="25">
        <f>IFERROR(IF(AND(O123&lt;&gt;"",F123&lt;&gt;"",I123&lt;&gt;""),O123/(F123*I123),""),"")</f>
        <v/>
      </c>
      <c r="Q123" s="26">
        <f>IFERROR(IF(AND(O123&lt;&gt;"",J123&lt;&gt;"",J123&lt;&gt;0),O123/J123,""),"")</f>
        <v/>
      </c>
      <c r="R123" s="27">
        <f>IFERROR(IF(AND(L123&lt;&gt;"",B123&lt;&gt;""),L123-B123,""),"")</f>
        <v/>
      </c>
      <c r="S123" s="19" t="n"/>
      <c r="T123" s="19" t="n"/>
      <c r="U123" s="17">
        <f>IF(O123&lt;&gt;"",122,"")</f>
        <v/>
      </c>
      <c r="V123" s="18">
        <f>IF(O123&lt;&gt;"",V122+O123,V122)</f>
        <v/>
      </c>
    </row>
    <row r="124">
      <c r="A124" s="8" t="n"/>
      <c r="B124" s="9" t="n"/>
      <c r="C124" s="8" t="n"/>
      <c r="D124" s="8" t="n"/>
      <c r="E124" s="8" t="n"/>
      <c r="F124" s="10" t="n"/>
      <c r="G124" s="10" t="n"/>
      <c r="H124" s="10" t="n"/>
      <c r="I124" s="11" t="n"/>
      <c r="J124" s="10">
        <f>IFERROR(IF(AND(F124&lt;&gt;"",G124&lt;&gt;"",I124&lt;&gt;""),ABS(F124-G124)*I124,""),"")</f>
        <v/>
      </c>
      <c r="K124" s="12">
        <f>IFERROR(IF(AND(F124&lt;&gt;"",G124&lt;&gt;"",H124&lt;&gt;""),ABS(H124-F124)/ABS(F124-G124),""),"")</f>
        <v/>
      </c>
      <c r="L124" s="9" t="n"/>
      <c r="M124" s="10" t="n"/>
      <c r="N124" s="10" t="n"/>
      <c r="O124" s="13">
        <f>IFERROR(IF(AND(M124&lt;&gt;"",F124&lt;&gt;"",I124&lt;&gt;""),IF(D124="Long",(M124-F124)*I124-IF(N124&lt;&gt;"",N124,0),IF(D124="Short",(F124-M124)*I124-IF(N124&lt;&gt;"",N124,0),"")),""),"")</f>
        <v/>
      </c>
      <c r="P124" s="14">
        <f>IFERROR(IF(AND(O124&lt;&gt;"",F124&lt;&gt;"",I124&lt;&gt;""),O124/(F124*I124),""),"")</f>
        <v/>
      </c>
      <c r="Q124" s="15">
        <f>IFERROR(IF(AND(O124&lt;&gt;"",J124&lt;&gt;"",J124&lt;&gt;0),O124/J124,""),"")</f>
        <v/>
      </c>
      <c r="R124" s="16">
        <f>IFERROR(IF(AND(L124&lt;&gt;"",B124&lt;&gt;""),L124-B124,""),"")</f>
        <v/>
      </c>
      <c r="S124" s="8" t="n"/>
      <c r="T124" s="8" t="n"/>
      <c r="U124" s="17">
        <f>IF(O124&lt;&gt;"",123,"")</f>
        <v/>
      </c>
      <c r="V124" s="18">
        <f>IF(O124&lt;&gt;"",V123+O124,V123)</f>
        <v/>
      </c>
    </row>
    <row r="125">
      <c r="A125" s="19" t="n"/>
      <c r="B125" s="20" t="n"/>
      <c r="C125" s="19" t="n"/>
      <c r="D125" s="19" t="n"/>
      <c r="E125" s="19" t="n"/>
      <c r="F125" s="21" t="n"/>
      <c r="G125" s="21" t="n"/>
      <c r="H125" s="21" t="n"/>
      <c r="I125" s="22" t="n"/>
      <c r="J125" s="21">
        <f>IFERROR(IF(AND(F125&lt;&gt;"",G125&lt;&gt;"",I125&lt;&gt;""),ABS(F125-G125)*I125,""),"")</f>
        <v/>
      </c>
      <c r="K125" s="23">
        <f>IFERROR(IF(AND(F125&lt;&gt;"",G125&lt;&gt;"",H125&lt;&gt;""),ABS(H125-F125)/ABS(F125-G125),""),"")</f>
        <v/>
      </c>
      <c r="L125" s="20" t="n"/>
      <c r="M125" s="21" t="n"/>
      <c r="N125" s="21" t="n"/>
      <c r="O125" s="24">
        <f>IFERROR(IF(AND(M125&lt;&gt;"",F125&lt;&gt;"",I125&lt;&gt;""),IF(D125="Long",(M125-F125)*I125-IF(N125&lt;&gt;"",N125,0),IF(D125="Short",(F125-M125)*I125-IF(N125&lt;&gt;"",N125,0),"")),""),"")</f>
        <v/>
      </c>
      <c r="P125" s="25">
        <f>IFERROR(IF(AND(O125&lt;&gt;"",F125&lt;&gt;"",I125&lt;&gt;""),O125/(F125*I125),""),"")</f>
        <v/>
      </c>
      <c r="Q125" s="26">
        <f>IFERROR(IF(AND(O125&lt;&gt;"",J125&lt;&gt;"",J125&lt;&gt;0),O125/J125,""),"")</f>
        <v/>
      </c>
      <c r="R125" s="27">
        <f>IFERROR(IF(AND(L125&lt;&gt;"",B125&lt;&gt;""),L125-B125,""),"")</f>
        <v/>
      </c>
      <c r="S125" s="19" t="n"/>
      <c r="T125" s="19" t="n"/>
      <c r="U125" s="17">
        <f>IF(O125&lt;&gt;"",124,"")</f>
        <v/>
      </c>
      <c r="V125" s="18">
        <f>IF(O125&lt;&gt;"",V124+O125,V124)</f>
        <v/>
      </c>
    </row>
    <row r="126">
      <c r="A126" s="8" t="n"/>
      <c r="B126" s="9" t="n"/>
      <c r="C126" s="8" t="n"/>
      <c r="D126" s="8" t="n"/>
      <c r="E126" s="8" t="n"/>
      <c r="F126" s="10" t="n"/>
      <c r="G126" s="10" t="n"/>
      <c r="H126" s="10" t="n"/>
      <c r="I126" s="11" t="n"/>
      <c r="J126" s="10">
        <f>IFERROR(IF(AND(F126&lt;&gt;"",G126&lt;&gt;"",I126&lt;&gt;""),ABS(F126-G126)*I126,""),"")</f>
        <v/>
      </c>
      <c r="K126" s="12">
        <f>IFERROR(IF(AND(F126&lt;&gt;"",G126&lt;&gt;"",H126&lt;&gt;""),ABS(H126-F126)/ABS(F126-G126),""),"")</f>
        <v/>
      </c>
      <c r="L126" s="9" t="n"/>
      <c r="M126" s="10" t="n"/>
      <c r="N126" s="10" t="n"/>
      <c r="O126" s="13">
        <f>IFERROR(IF(AND(M126&lt;&gt;"",F126&lt;&gt;"",I126&lt;&gt;""),IF(D126="Long",(M126-F126)*I126-IF(N126&lt;&gt;"",N126,0),IF(D126="Short",(F126-M126)*I126-IF(N126&lt;&gt;"",N126,0),"")),""),"")</f>
        <v/>
      </c>
      <c r="P126" s="14">
        <f>IFERROR(IF(AND(O126&lt;&gt;"",F126&lt;&gt;"",I126&lt;&gt;""),O126/(F126*I126),""),"")</f>
        <v/>
      </c>
      <c r="Q126" s="15">
        <f>IFERROR(IF(AND(O126&lt;&gt;"",J126&lt;&gt;"",J126&lt;&gt;0),O126/J126,""),"")</f>
        <v/>
      </c>
      <c r="R126" s="16">
        <f>IFERROR(IF(AND(L126&lt;&gt;"",B126&lt;&gt;""),L126-B126,""),"")</f>
        <v/>
      </c>
      <c r="S126" s="8" t="n"/>
      <c r="T126" s="8" t="n"/>
      <c r="U126" s="17">
        <f>IF(O126&lt;&gt;"",125,"")</f>
        <v/>
      </c>
      <c r="V126" s="18">
        <f>IF(O126&lt;&gt;"",V125+O126,V125)</f>
        <v/>
      </c>
    </row>
    <row r="127">
      <c r="A127" s="19" t="n"/>
      <c r="B127" s="20" t="n"/>
      <c r="C127" s="19" t="n"/>
      <c r="D127" s="19" t="n"/>
      <c r="E127" s="19" t="n"/>
      <c r="F127" s="21" t="n"/>
      <c r="G127" s="21" t="n"/>
      <c r="H127" s="21" t="n"/>
      <c r="I127" s="22" t="n"/>
      <c r="J127" s="21">
        <f>IFERROR(IF(AND(F127&lt;&gt;"",G127&lt;&gt;"",I127&lt;&gt;""),ABS(F127-G127)*I127,""),"")</f>
        <v/>
      </c>
      <c r="K127" s="23">
        <f>IFERROR(IF(AND(F127&lt;&gt;"",G127&lt;&gt;"",H127&lt;&gt;""),ABS(H127-F127)/ABS(F127-G127),""),"")</f>
        <v/>
      </c>
      <c r="L127" s="20" t="n"/>
      <c r="M127" s="21" t="n"/>
      <c r="N127" s="21" t="n"/>
      <c r="O127" s="24">
        <f>IFERROR(IF(AND(M127&lt;&gt;"",F127&lt;&gt;"",I127&lt;&gt;""),IF(D127="Long",(M127-F127)*I127-IF(N127&lt;&gt;"",N127,0),IF(D127="Short",(F127-M127)*I127-IF(N127&lt;&gt;"",N127,0),"")),""),"")</f>
        <v/>
      </c>
      <c r="P127" s="25">
        <f>IFERROR(IF(AND(O127&lt;&gt;"",F127&lt;&gt;"",I127&lt;&gt;""),O127/(F127*I127),""),"")</f>
        <v/>
      </c>
      <c r="Q127" s="26">
        <f>IFERROR(IF(AND(O127&lt;&gt;"",J127&lt;&gt;"",J127&lt;&gt;0),O127/J127,""),"")</f>
        <v/>
      </c>
      <c r="R127" s="27">
        <f>IFERROR(IF(AND(L127&lt;&gt;"",B127&lt;&gt;""),L127-B127,""),"")</f>
        <v/>
      </c>
      <c r="S127" s="19" t="n"/>
      <c r="T127" s="19" t="n"/>
      <c r="U127" s="17">
        <f>IF(O127&lt;&gt;"",126,"")</f>
        <v/>
      </c>
      <c r="V127" s="18">
        <f>IF(O127&lt;&gt;"",V126+O127,V126)</f>
        <v/>
      </c>
    </row>
    <row r="128">
      <c r="A128" s="8" t="n"/>
      <c r="B128" s="9" t="n"/>
      <c r="C128" s="8" t="n"/>
      <c r="D128" s="8" t="n"/>
      <c r="E128" s="8" t="n"/>
      <c r="F128" s="10" t="n"/>
      <c r="G128" s="10" t="n"/>
      <c r="H128" s="10" t="n"/>
      <c r="I128" s="11" t="n"/>
      <c r="J128" s="10">
        <f>IFERROR(IF(AND(F128&lt;&gt;"",G128&lt;&gt;"",I128&lt;&gt;""),ABS(F128-G128)*I128,""),"")</f>
        <v/>
      </c>
      <c r="K128" s="12">
        <f>IFERROR(IF(AND(F128&lt;&gt;"",G128&lt;&gt;"",H128&lt;&gt;""),ABS(H128-F128)/ABS(F128-G128),""),"")</f>
        <v/>
      </c>
      <c r="L128" s="9" t="n"/>
      <c r="M128" s="10" t="n"/>
      <c r="N128" s="10" t="n"/>
      <c r="O128" s="13">
        <f>IFERROR(IF(AND(M128&lt;&gt;"",F128&lt;&gt;"",I128&lt;&gt;""),IF(D128="Long",(M128-F128)*I128-IF(N128&lt;&gt;"",N128,0),IF(D128="Short",(F128-M128)*I128-IF(N128&lt;&gt;"",N128,0),"")),""),"")</f>
        <v/>
      </c>
      <c r="P128" s="14">
        <f>IFERROR(IF(AND(O128&lt;&gt;"",F128&lt;&gt;"",I128&lt;&gt;""),O128/(F128*I128),""),"")</f>
        <v/>
      </c>
      <c r="Q128" s="15">
        <f>IFERROR(IF(AND(O128&lt;&gt;"",J128&lt;&gt;"",J128&lt;&gt;0),O128/J128,""),"")</f>
        <v/>
      </c>
      <c r="R128" s="16">
        <f>IFERROR(IF(AND(L128&lt;&gt;"",B128&lt;&gt;""),L128-B128,""),"")</f>
        <v/>
      </c>
      <c r="S128" s="8" t="n"/>
      <c r="T128" s="8" t="n"/>
      <c r="U128" s="17">
        <f>IF(O128&lt;&gt;"",127,"")</f>
        <v/>
      </c>
      <c r="V128" s="18">
        <f>IF(O128&lt;&gt;"",V127+O128,V127)</f>
        <v/>
      </c>
    </row>
    <row r="129">
      <c r="A129" s="19" t="n"/>
      <c r="B129" s="20" t="n"/>
      <c r="C129" s="19" t="n"/>
      <c r="D129" s="19" t="n"/>
      <c r="E129" s="19" t="n"/>
      <c r="F129" s="21" t="n"/>
      <c r="G129" s="21" t="n"/>
      <c r="H129" s="21" t="n"/>
      <c r="I129" s="22" t="n"/>
      <c r="J129" s="21">
        <f>IFERROR(IF(AND(F129&lt;&gt;"",G129&lt;&gt;"",I129&lt;&gt;""),ABS(F129-G129)*I129,""),"")</f>
        <v/>
      </c>
      <c r="K129" s="23">
        <f>IFERROR(IF(AND(F129&lt;&gt;"",G129&lt;&gt;"",H129&lt;&gt;""),ABS(H129-F129)/ABS(F129-G129),""),"")</f>
        <v/>
      </c>
      <c r="L129" s="20" t="n"/>
      <c r="M129" s="21" t="n"/>
      <c r="N129" s="21" t="n"/>
      <c r="O129" s="24">
        <f>IFERROR(IF(AND(M129&lt;&gt;"",F129&lt;&gt;"",I129&lt;&gt;""),IF(D129="Long",(M129-F129)*I129-IF(N129&lt;&gt;"",N129,0),IF(D129="Short",(F129-M129)*I129-IF(N129&lt;&gt;"",N129,0),"")),""),"")</f>
        <v/>
      </c>
      <c r="P129" s="25">
        <f>IFERROR(IF(AND(O129&lt;&gt;"",F129&lt;&gt;"",I129&lt;&gt;""),O129/(F129*I129),""),"")</f>
        <v/>
      </c>
      <c r="Q129" s="26">
        <f>IFERROR(IF(AND(O129&lt;&gt;"",J129&lt;&gt;"",J129&lt;&gt;0),O129/J129,""),"")</f>
        <v/>
      </c>
      <c r="R129" s="27">
        <f>IFERROR(IF(AND(L129&lt;&gt;"",B129&lt;&gt;""),L129-B129,""),"")</f>
        <v/>
      </c>
      <c r="S129" s="19" t="n"/>
      <c r="T129" s="19" t="n"/>
      <c r="U129" s="17">
        <f>IF(O129&lt;&gt;"",128,"")</f>
        <v/>
      </c>
      <c r="V129" s="18">
        <f>IF(O129&lt;&gt;"",V128+O129,V128)</f>
        <v/>
      </c>
    </row>
    <row r="130">
      <c r="A130" s="8" t="n"/>
      <c r="B130" s="9" t="n"/>
      <c r="C130" s="8" t="n"/>
      <c r="D130" s="8" t="n"/>
      <c r="E130" s="8" t="n"/>
      <c r="F130" s="10" t="n"/>
      <c r="G130" s="10" t="n"/>
      <c r="H130" s="10" t="n"/>
      <c r="I130" s="11" t="n"/>
      <c r="J130" s="10">
        <f>IFERROR(IF(AND(F130&lt;&gt;"",G130&lt;&gt;"",I130&lt;&gt;""),ABS(F130-G130)*I130,""),"")</f>
        <v/>
      </c>
      <c r="K130" s="12">
        <f>IFERROR(IF(AND(F130&lt;&gt;"",G130&lt;&gt;"",H130&lt;&gt;""),ABS(H130-F130)/ABS(F130-G130),""),"")</f>
        <v/>
      </c>
      <c r="L130" s="9" t="n"/>
      <c r="M130" s="10" t="n"/>
      <c r="N130" s="10" t="n"/>
      <c r="O130" s="13">
        <f>IFERROR(IF(AND(M130&lt;&gt;"",F130&lt;&gt;"",I130&lt;&gt;""),IF(D130="Long",(M130-F130)*I130-IF(N130&lt;&gt;"",N130,0),IF(D130="Short",(F130-M130)*I130-IF(N130&lt;&gt;"",N130,0),"")),""),"")</f>
        <v/>
      </c>
      <c r="P130" s="14">
        <f>IFERROR(IF(AND(O130&lt;&gt;"",F130&lt;&gt;"",I130&lt;&gt;""),O130/(F130*I130),""),"")</f>
        <v/>
      </c>
      <c r="Q130" s="15">
        <f>IFERROR(IF(AND(O130&lt;&gt;"",J130&lt;&gt;"",J130&lt;&gt;0),O130/J130,""),"")</f>
        <v/>
      </c>
      <c r="R130" s="16">
        <f>IFERROR(IF(AND(L130&lt;&gt;"",B130&lt;&gt;""),L130-B130,""),"")</f>
        <v/>
      </c>
      <c r="S130" s="8" t="n"/>
      <c r="T130" s="8" t="n"/>
      <c r="U130" s="17">
        <f>IF(O130&lt;&gt;"",129,"")</f>
        <v/>
      </c>
      <c r="V130" s="18">
        <f>IF(O130&lt;&gt;"",V129+O130,V129)</f>
        <v/>
      </c>
    </row>
    <row r="131">
      <c r="A131" s="19" t="n"/>
      <c r="B131" s="20" t="n"/>
      <c r="C131" s="19" t="n"/>
      <c r="D131" s="19" t="n"/>
      <c r="E131" s="19" t="n"/>
      <c r="F131" s="21" t="n"/>
      <c r="G131" s="21" t="n"/>
      <c r="H131" s="21" t="n"/>
      <c r="I131" s="22" t="n"/>
      <c r="J131" s="21">
        <f>IFERROR(IF(AND(F131&lt;&gt;"",G131&lt;&gt;"",I131&lt;&gt;""),ABS(F131-G131)*I131,""),"")</f>
        <v/>
      </c>
      <c r="K131" s="23">
        <f>IFERROR(IF(AND(F131&lt;&gt;"",G131&lt;&gt;"",H131&lt;&gt;""),ABS(H131-F131)/ABS(F131-G131),""),"")</f>
        <v/>
      </c>
      <c r="L131" s="20" t="n"/>
      <c r="M131" s="21" t="n"/>
      <c r="N131" s="21" t="n"/>
      <c r="O131" s="24">
        <f>IFERROR(IF(AND(M131&lt;&gt;"",F131&lt;&gt;"",I131&lt;&gt;""),IF(D131="Long",(M131-F131)*I131-IF(N131&lt;&gt;"",N131,0),IF(D131="Short",(F131-M131)*I131-IF(N131&lt;&gt;"",N131,0),"")),""),"")</f>
        <v/>
      </c>
      <c r="P131" s="25">
        <f>IFERROR(IF(AND(O131&lt;&gt;"",F131&lt;&gt;"",I131&lt;&gt;""),O131/(F131*I131),""),"")</f>
        <v/>
      </c>
      <c r="Q131" s="26">
        <f>IFERROR(IF(AND(O131&lt;&gt;"",J131&lt;&gt;"",J131&lt;&gt;0),O131/J131,""),"")</f>
        <v/>
      </c>
      <c r="R131" s="27">
        <f>IFERROR(IF(AND(L131&lt;&gt;"",B131&lt;&gt;""),L131-B131,""),"")</f>
        <v/>
      </c>
      <c r="S131" s="19" t="n"/>
      <c r="T131" s="19" t="n"/>
      <c r="U131" s="17">
        <f>IF(O131&lt;&gt;"",130,"")</f>
        <v/>
      </c>
      <c r="V131" s="18">
        <f>IF(O131&lt;&gt;"",V130+O131,V130)</f>
        <v/>
      </c>
    </row>
    <row r="132">
      <c r="A132" s="8" t="n"/>
      <c r="B132" s="9" t="n"/>
      <c r="C132" s="8" t="n"/>
      <c r="D132" s="8" t="n"/>
      <c r="E132" s="8" t="n"/>
      <c r="F132" s="10" t="n"/>
      <c r="G132" s="10" t="n"/>
      <c r="H132" s="10" t="n"/>
      <c r="I132" s="11" t="n"/>
      <c r="J132" s="10">
        <f>IFERROR(IF(AND(F132&lt;&gt;"",G132&lt;&gt;"",I132&lt;&gt;""),ABS(F132-G132)*I132,""),"")</f>
        <v/>
      </c>
      <c r="K132" s="12">
        <f>IFERROR(IF(AND(F132&lt;&gt;"",G132&lt;&gt;"",H132&lt;&gt;""),ABS(H132-F132)/ABS(F132-G132),""),"")</f>
        <v/>
      </c>
      <c r="L132" s="9" t="n"/>
      <c r="M132" s="10" t="n"/>
      <c r="N132" s="10" t="n"/>
      <c r="O132" s="13">
        <f>IFERROR(IF(AND(M132&lt;&gt;"",F132&lt;&gt;"",I132&lt;&gt;""),IF(D132="Long",(M132-F132)*I132-IF(N132&lt;&gt;"",N132,0),IF(D132="Short",(F132-M132)*I132-IF(N132&lt;&gt;"",N132,0),"")),""),"")</f>
        <v/>
      </c>
      <c r="P132" s="14">
        <f>IFERROR(IF(AND(O132&lt;&gt;"",F132&lt;&gt;"",I132&lt;&gt;""),O132/(F132*I132),""),"")</f>
        <v/>
      </c>
      <c r="Q132" s="15">
        <f>IFERROR(IF(AND(O132&lt;&gt;"",J132&lt;&gt;"",J132&lt;&gt;0),O132/J132,""),"")</f>
        <v/>
      </c>
      <c r="R132" s="16">
        <f>IFERROR(IF(AND(L132&lt;&gt;"",B132&lt;&gt;""),L132-B132,""),"")</f>
        <v/>
      </c>
      <c r="S132" s="8" t="n"/>
      <c r="T132" s="8" t="n"/>
      <c r="U132" s="17">
        <f>IF(O132&lt;&gt;"",131,"")</f>
        <v/>
      </c>
      <c r="V132" s="18">
        <f>IF(O132&lt;&gt;"",V131+O132,V131)</f>
        <v/>
      </c>
    </row>
    <row r="133">
      <c r="A133" s="19" t="n"/>
      <c r="B133" s="20" t="n"/>
      <c r="C133" s="19" t="n"/>
      <c r="D133" s="19" t="n"/>
      <c r="E133" s="19" t="n"/>
      <c r="F133" s="21" t="n"/>
      <c r="G133" s="21" t="n"/>
      <c r="H133" s="21" t="n"/>
      <c r="I133" s="22" t="n"/>
      <c r="J133" s="21">
        <f>IFERROR(IF(AND(F133&lt;&gt;"",G133&lt;&gt;"",I133&lt;&gt;""),ABS(F133-G133)*I133,""),"")</f>
        <v/>
      </c>
      <c r="K133" s="23">
        <f>IFERROR(IF(AND(F133&lt;&gt;"",G133&lt;&gt;"",H133&lt;&gt;""),ABS(H133-F133)/ABS(F133-G133),""),"")</f>
        <v/>
      </c>
      <c r="L133" s="20" t="n"/>
      <c r="M133" s="21" t="n"/>
      <c r="N133" s="21" t="n"/>
      <c r="O133" s="24">
        <f>IFERROR(IF(AND(M133&lt;&gt;"",F133&lt;&gt;"",I133&lt;&gt;""),IF(D133="Long",(M133-F133)*I133-IF(N133&lt;&gt;"",N133,0),IF(D133="Short",(F133-M133)*I133-IF(N133&lt;&gt;"",N133,0),"")),""),"")</f>
        <v/>
      </c>
      <c r="P133" s="25">
        <f>IFERROR(IF(AND(O133&lt;&gt;"",F133&lt;&gt;"",I133&lt;&gt;""),O133/(F133*I133),""),"")</f>
        <v/>
      </c>
      <c r="Q133" s="26">
        <f>IFERROR(IF(AND(O133&lt;&gt;"",J133&lt;&gt;"",J133&lt;&gt;0),O133/J133,""),"")</f>
        <v/>
      </c>
      <c r="R133" s="27">
        <f>IFERROR(IF(AND(L133&lt;&gt;"",B133&lt;&gt;""),L133-B133,""),"")</f>
        <v/>
      </c>
      <c r="S133" s="19" t="n"/>
      <c r="T133" s="19" t="n"/>
      <c r="U133" s="17">
        <f>IF(O133&lt;&gt;"",132,"")</f>
        <v/>
      </c>
      <c r="V133" s="18">
        <f>IF(O133&lt;&gt;"",V132+O133,V132)</f>
        <v/>
      </c>
    </row>
    <row r="134">
      <c r="A134" s="8" t="n"/>
      <c r="B134" s="9" t="n"/>
      <c r="C134" s="8" t="n"/>
      <c r="D134" s="8" t="n"/>
      <c r="E134" s="8" t="n"/>
      <c r="F134" s="10" t="n"/>
      <c r="G134" s="10" t="n"/>
      <c r="H134" s="10" t="n"/>
      <c r="I134" s="11" t="n"/>
      <c r="J134" s="10">
        <f>IFERROR(IF(AND(F134&lt;&gt;"",G134&lt;&gt;"",I134&lt;&gt;""),ABS(F134-G134)*I134,""),"")</f>
        <v/>
      </c>
      <c r="K134" s="12">
        <f>IFERROR(IF(AND(F134&lt;&gt;"",G134&lt;&gt;"",H134&lt;&gt;""),ABS(H134-F134)/ABS(F134-G134),""),"")</f>
        <v/>
      </c>
      <c r="L134" s="9" t="n"/>
      <c r="M134" s="10" t="n"/>
      <c r="N134" s="10" t="n"/>
      <c r="O134" s="13">
        <f>IFERROR(IF(AND(M134&lt;&gt;"",F134&lt;&gt;"",I134&lt;&gt;""),IF(D134="Long",(M134-F134)*I134-IF(N134&lt;&gt;"",N134,0),IF(D134="Short",(F134-M134)*I134-IF(N134&lt;&gt;"",N134,0),"")),""),"")</f>
        <v/>
      </c>
      <c r="P134" s="14">
        <f>IFERROR(IF(AND(O134&lt;&gt;"",F134&lt;&gt;"",I134&lt;&gt;""),O134/(F134*I134),""),"")</f>
        <v/>
      </c>
      <c r="Q134" s="15">
        <f>IFERROR(IF(AND(O134&lt;&gt;"",J134&lt;&gt;"",J134&lt;&gt;0),O134/J134,""),"")</f>
        <v/>
      </c>
      <c r="R134" s="16">
        <f>IFERROR(IF(AND(L134&lt;&gt;"",B134&lt;&gt;""),L134-B134,""),"")</f>
        <v/>
      </c>
      <c r="S134" s="8" t="n"/>
      <c r="T134" s="8" t="n"/>
      <c r="U134" s="17">
        <f>IF(O134&lt;&gt;"",133,"")</f>
        <v/>
      </c>
      <c r="V134" s="18">
        <f>IF(O134&lt;&gt;"",V133+O134,V133)</f>
        <v/>
      </c>
    </row>
    <row r="135">
      <c r="A135" s="19" t="n"/>
      <c r="B135" s="20" t="n"/>
      <c r="C135" s="19" t="n"/>
      <c r="D135" s="19" t="n"/>
      <c r="E135" s="19" t="n"/>
      <c r="F135" s="21" t="n"/>
      <c r="G135" s="21" t="n"/>
      <c r="H135" s="21" t="n"/>
      <c r="I135" s="22" t="n"/>
      <c r="J135" s="21">
        <f>IFERROR(IF(AND(F135&lt;&gt;"",G135&lt;&gt;"",I135&lt;&gt;""),ABS(F135-G135)*I135,""),"")</f>
        <v/>
      </c>
      <c r="K135" s="23">
        <f>IFERROR(IF(AND(F135&lt;&gt;"",G135&lt;&gt;"",H135&lt;&gt;""),ABS(H135-F135)/ABS(F135-G135),""),"")</f>
        <v/>
      </c>
      <c r="L135" s="20" t="n"/>
      <c r="M135" s="21" t="n"/>
      <c r="N135" s="21" t="n"/>
      <c r="O135" s="24">
        <f>IFERROR(IF(AND(M135&lt;&gt;"",F135&lt;&gt;"",I135&lt;&gt;""),IF(D135="Long",(M135-F135)*I135-IF(N135&lt;&gt;"",N135,0),IF(D135="Short",(F135-M135)*I135-IF(N135&lt;&gt;"",N135,0),"")),""),"")</f>
        <v/>
      </c>
      <c r="P135" s="25">
        <f>IFERROR(IF(AND(O135&lt;&gt;"",F135&lt;&gt;"",I135&lt;&gt;""),O135/(F135*I135),""),"")</f>
        <v/>
      </c>
      <c r="Q135" s="26">
        <f>IFERROR(IF(AND(O135&lt;&gt;"",J135&lt;&gt;"",J135&lt;&gt;0),O135/J135,""),"")</f>
        <v/>
      </c>
      <c r="R135" s="27">
        <f>IFERROR(IF(AND(L135&lt;&gt;"",B135&lt;&gt;""),L135-B135,""),"")</f>
        <v/>
      </c>
      <c r="S135" s="19" t="n"/>
      <c r="T135" s="19" t="n"/>
      <c r="U135" s="17">
        <f>IF(O135&lt;&gt;"",134,"")</f>
        <v/>
      </c>
      <c r="V135" s="18">
        <f>IF(O135&lt;&gt;"",V134+O135,V134)</f>
        <v/>
      </c>
    </row>
    <row r="136">
      <c r="A136" s="8" t="n"/>
      <c r="B136" s="9" t="n"/>
      <c r="C136" s="8" t="n"/>
      <c r="D136" s="8" t="n"/>
      <c r="E136" s="8" t="n"/>
      <c r="F136" s="10" t="n"/>
      <c r="G136" s="10" t="n"/>
      <c r="H136" s="10" t="n"/>
      <c r="I136" s="11" t="n"/>
      <c r="J136" s="10">
        <f>IFERROR(IF(AND(F136&lt;&gt;"",G136&lt;&gt;"",I136&lt;&gt;""),ABS(F136-G136)*I136,""),"")</f>
        <v/>
      </c>
      <c r="K136" s="12">
        <f>IFERROR(IF(AND(F136&lt;&gt;"",G136&lt;&gt;"",H136&lt;&gt;""),ABS(H136-F136)/ABS(F136-G136),""),"")</f>
        <v/>
      </c>
      <c r="L136" s="9" t="n"/>
      <c r="M136" s="10" t="n"/>
      <c r="N136" s="10" t="n"/>
      <c r="O136" s="13">
        <f>IFERROR(IF(AND(M136&lt;&gt;"",F136&lt;&gt;"",I136&lt;&gt;""),IF(D136="Long",(M136-F136)*I136-IF(N136&lt;&gt;"",N136,0),IF(D136="Short",(F136-M136)*I136-IF(N136&lt;&gt;"",N136,0),"")),""),"")</f>
        <v/>
      </c>
      <c r="P136" s="14">
        <f>IFERROR(IF(AND(O136&lt;&gt;"",F136&lt;&gt;"",I136&lt;&gt;""),O136/(F136*I136),""),"")</f>
        <v/>
      </c>
      <c r="Q136" s="15">
        <f>IFERROR(IF(AND(O136&lt;&gt;"",J136&lt;&gt;"",J136&lt;&gt;0),O136/J136,""),"")</f>
        <v/>
      </c>
      <c r="R136" s="16">
        <f>IFERROR(IF(AND(L136&lt;&gt;"",B136&lt;&gt;""),L136-B136,""),"")</f>
        <v/>
      </c>
      <c r="S136" s="8" t="n"/>
      <c r="T136" s="8" t="n"/>
      <c r="U136" s="17">
        <f>IF(O136&lt;&gt;"",135,"")</f>
        <v/>
      </c>
      <c r="V136" s="18">
        <f>IF(O136&lt;&gt;"",V135+O136,V135)</f>
        <v/>
      </c>
    </row>
    <row r="137">
      <c r="A137" s="19" t="n"/>
      <c r="B137" s="20" t="n"/>
      <c r="C137" s="19" t="n"/>
      <c r="D137" s="19" t="n"/>
      <c r="E137" s="19" t="n"/>
      <c r="F137" s="21" t="n"/>
      <c r="G137" s="21" t="n"/>
      <c r="H137" s="21" t="n"/>
      <c r="I137" s="22" t="n"/>
      <c r="J137" s="21">
        <f>IFERROR(IF(AND(F137&lt;&gt;"",G137&lt;&gt;"",I137&lt;&gt;""),ABS(F137-G137)*I137,""),"")</f>
        <v/>
      </c>
      <c r="K137" s="23">
        <f>IFERROR(IF(AND(F137&lt;&gt;"",G137&lt;&gt;"",H137&lt;&gt;""),ABS(H137-F137)/ABS(F137-G137),""),"")</f>
        <v/>
      </c>
      <c r="L137" s="20" t="n"/>
      <c r="M137" s="21" t="n"/>
      <c r="N137" s="21" t="n"/>
      <c r="O137" s="24">
        <f>IFERROR(IF(AND(M137&lt;&gt;"",F137&lt;&gt;"",I137&lt;&gt;""),IF(D137="Long",(M137-F137)*I137-IF(N137&lt;&gt;"",N137,0),IF(D137="Short",(F137-M137)*I137-IF(N137&lt;&gt;"",N137,0),"")),""),"")</f>
        <v/>
      </c>
      <c r="P137" s="25">
        <f>IFERROR(IF(AND(O137&lt;&gt;"",F137&lt;&gt;"",I137&lt;&gt;""),O137/(F137*I137),""),"")</f>
        <v/>
      </c>
      <c r="Q137" s="26">
        <f>IFERROR(IF(AND(O137&lt;&gt;"",J137&lt;&gt;"",J137&lt;&gt;0),O137/J137,""),"")</f>
        <v/>
      </c>
      <c r="R137" s="27">
        <f>IFERROR(IF(AND(L137&lt;&gt;"",B137&lt;&gt;""),L137-B137,""),"")</f>
        <v/>
      </c>
      <c r="S137" s="19" t="n"/>
      <c r="T137" s="19" t="n"/>
      <c r="U137" s="17">
        <f>IF(O137&lt;&gt;"",136,"")</f>
        <v/>
      </c>
      <c r="V137" s="18">
        <f>IF(O137&lt;&gt;"",V136+O137,V136)</f>
        <v/>
      </c>
    </row>
    <row r="138">
      <c r="A138" s="8" t="n"/>
      <c r="B138" s="9" t="n"/>
      <c r="C138" s="8" t="n"/>
      <c r="D138" s="8" t="n"/>
      <c r="E138" s="8" t="n"/>
      <c r="F138" s="10" t="n"/>
      <c r="G138" s="10" t="n"/>
      <c r="H138" s="10" t="n"/>
      <c r="I138" s="11" t="n"/>
      <c r="J138" s="10">
        <f>IFERROR(IF(AND(F138&lt;&gt;"",G138&lt;&gt;"",I138&lt;&gt;""),ABS(F138-G138)*I138,""),"")</f>
        <v/>
      </c>
      <c r="K138" s="12">
        <f>IFERROR(IF(AND(F138&lt;&gt;"",G138&lt;&gt;"",H138&lt;&gt;""),ABS(H138-F138)/ABS(F138-G138),""),"")</f>
        <v/>
      </c>
      <c r="L138" s="9" t="n"/>
      <c r="M138" s="10" t="n"/>
      <c r="N138" s="10" t="n"/>
      <c r="O138" s="13">
        <f>IFERROR(IF(AND(M138&lt;&gt;"",F138&lt;&gt;"",I138&lt;&gt;""),IF(D138="Long",(M138-F138)*I138-IF(N138&lt;&gt;"",N138,0),IF(D138="Short",(F138-M138)*I138-IF(N138&lt;&gt;"",N138,0),"")),""),"")</f>
        <v/>
      </c>
      <c r="P138" s="14">
        <f>IFERROR(IF(AND(O138&lt;&gt;"",F138&lt;&gt;"",I138&lt;&gt;""),O138/(F138*I138),""),"")</f>
        <v/>
      </c>
      <c r="Q138" s="15">
        <f>IFERROR(IF(AND(O138&lt;&gt;"",J138&lt;&gt;"",J138&lt;&gt;0),O138/J138,""),"")</f>
        <v/>
      </c>
      <c r="R138" s="16">
        <f>IFERROR(IF(AND(L138&lt;&gt;"",B138&lt;&gt;""),L138-B138,""),"")</f>
        <v/>
      </c>
      <c r="S138" s="8" t="n"/>
      <c r="T138" s="8" t="n"/>
      <c r="U138" s="17">
        <f>IF(O138&lt;&gt;"",137,"")</f>
        <v/>
      </c>
      <c r="V138" s="18">
        <f>IF(O138&lt;&gt;"",V137+O138,V137)</f>
        <v/>
      </c>
    </row>
    <row r="139">
      <c r="A139" s="19" t="n"/>
      <c r="B139" s="20" t="n"/>
      <c r="C139" s="19" t="n"/>
      <c r="D139" s="19" t="n"/>
      <c r="E139" s="19" t="n"/>
      <c r="F139" s="21" t="n"/>
      <c r="G139" s="21" t="n"/>
      <c r="H139" s="21" t="n"/>
      <c r="I139" s="22" t="n"/>
      <c r="J139" s="21">
        <f>IFERROR(IF(AND(F139&lt;&gt;"",G139&lt;&gt;"",I139&lt;&gt;""),ABS(F139-G139)*I139,""),"")</f>
        <v/>
      </c>
      <c r="K139" s="23">
        <f>IFERROR(IF(AND(F139&lt;&gt;"",G139&lt;&gt;"",H139&lt;&gt;""),ABS(H139-F139)/ABS(F139-G139),""),"")</f>
        <v/>
      </c>
      <c r="L139" s="20" t="n"/>
      <c r="M139" s="21" t="n"/>
      <c r="N139" s="21" t="n"/>
      <c r="O139" s="24">
        <f>IFERROR(IF(AND(M139&lt;&gt;"",F139&lt;&gt;"",I139&lt;&gt;""),IF(D139="Long",(M139-F139)*I139-IF(N139&lt;&gt;"",N139,0),IF(D139="Short",(F139-M139)*I139-IF(N139&lt;&gt;"",N139,0),"")),""),"")</f>
        <v/>
      </c>
      <c r="P139" s="25">
        <f>IFERROR(IF(AND(O139&lt;&gt;"",F139&lt;&gt;"",I139&lt;&gt;""),O139/(F139*I139),""),"")</f>
        <v/>
      </c>
      <c r="Q139" s="26">
        <f>IFERROR(IF(AND(O139&lt;&gt;"",J139&lt;&gt;"",J139&lt;&gt;0),O139/J139,""),"")</f>
        <v/>
      </c>
      <c r="R139" s="27">
        <f>IFERROR(IF(AND(L139&lt;&gt;"",B139&lt;&gt;""),L139-B139,""),"")</f>
        <v/>
      </c>
      <c r="S139" s="19" t="n"/>
      <c r="T139" s="19" t="n"/>
      <c r="U139" s="17">
        <f>IF(O139&lt;&gt;"",138,"")</f>
        <v/>
      </c>
      <c r="V139" s="18">
        <f>IF(O139&lt;&gt;"",V138+O139,V138)</f>
        <v/>
      </c>
    </row>
    <row r="140">
      <c r="A140" s="8" t="n"/>
      <c r="B140" s="9" t="n"/>
      <c r="C140" s="8" t="n"/>
      <c r="D140" s="8" t="n"/>
      <c r="E140" s="8" t="n"/>
      <c r="F140" s="10" t="n"/>
      <c r="G140" s="10" t="n"/>
      <c r="H140" s="10" t="n"/>
      <c r="I140" s="11" t="n"/>
      <c r="J140" s="10">
        <f>IFERROR(IF(AND(F140&lt;&gt;"",G140&lt;&gt;"",I140&lt;&gt;""),ABS(F140-G140)*I140,""),"")</f>
        <v/>
      </c>
      <c r="K140" s="12">
        <f>IFERROR(IF(AND(F140&lt;&gt;"",G140&lt;&gt;"",H140&lt;&gt;""),ABS(H140-F140)/ABS(F140-G140),""),"")</f>
        <v/>
      </c>
      <c r="L140" s="9" t="n"/>
      <c r="M140" s="10" t="n"/>
      <c r="N140" s="10" t="n"/>
      <c r="O140" s="13">
        <f>IFERROR(IF(AND(M140&lt;&gt;"",F140&lt;&gt;"",I140&lt;&gt;""),IF(D140="Long",(M140-F140)*I140-IF(N140&lt;&gt;"",N140,0),IF(D140="Short",(F140-M140)*I140-IF(N140&lt;&gt;"",N140,0),"")),""),"")</f>
        <v/>
      </c>
      <c r="P140" s="14">
        <f>IFERROR(IF(AND(O140&lt;&gt;"",F140&lt;&gt;"",I140&lt;&gt;""),O140/(F140*I140),""),"")</f>
        <v/>
      </c>
      <c r="Q140" s="15">
        <f>IFERROR(IF(AND(O140&lt;&gt;"",J140&lt;&gt;"",J140&lt;&gt;0),O140/J140,""),"")</f>
        <v/>
      </c>
      <c r="R140" s="16">
        <f>IFERROR(IF(AND(L140&lt;&gt;"",B140&lt;&gt;""),L140-B140,""),"")</f>
        <v/>
      </c>
      <c r="S140" s="8" t="n"/>
      <c r="T140" s="8" t="n"/>
      <c r="U140" s="17">
        <f>IF(O140&lt;&gt;"",139,"")</f>
        <v/>
      </c>
      <c r="V140" s="18">
        <f>IF(O140&lt;&gt;"",V139+O140,V139)</f>
        <v/>
      </c>
    </row>
    <row r="141">
      <c r="A141" s="19" t="n"/>
      <c r="B141" s="20" t="n"/>
      <c r="C141" s="19" t="n"/>
      <c r="D141" s="19" t="n"/>
      <c r="E141" s="19" t="n"/>
      <c r="F141" s="21" t="n"/>
      <c r="G141" s="21" t="n"/>
      <c r="H141" s="21" t="n"/>
      <c r="I141" s="22" t="n"/>
      <c r="J141" s="21">
        <f>IFERROR(IF(AND(F141&lt;&gt;"",G141&lt;&gt;"",I141&lt;&gt;""),ABS(F141-G141)*I141,""),"")</f>
        <v/>
      </c>
      <c r="K141" s="23">
        <f>IFERROR(IF(AND(F141&lt;&gt;"",G141&lt;&gt;"",H141&lt;&gt;""),ABS(H141-F141)/ABS(F141-G141),""),"")</f>
        <v/>
      </c>
      <c r="L141" s="20" t="n"/>
      <c r="M141" s="21" t="n"/>
      <c r="N141" s="21" t="n"/>
      <c r="O141" s="24">
        <f>IFERROR(IF(AND(M141&lt;&gt;"",F141&lt;&gt;"",I141&lt;&gt;""),IF(D141="Long",(M141-F141)*I141-IF(N141&lt;&gt;"",N141,0),IF(D141="Short",(F141-M141)*I141-IF(N141&lt;&gt;"",N141,0),"")),""),"")</f>
        <v/>
      </c>
      <c r="P141" s="25">
        <f>IFERROR(IF(AND(O141&lt;&gt;"",F141&lt;&gt;"",I141&lt;&gt;""),O141/(F141*I141),""),"")</f>
        <v/>
      </c>
      <c r="Q141" s="26">
        <f>IFERROR(IF(AND(O141&lt;&gt;"",J141&lt;&gt;"",J141&lt;&gt;0),O141/J141,""),"")</f>
        <v/>
      </c>
      <c r="R141" s="27">
        <f>IFERROR(IF(AND(L141&lt;&gt;"",B141&lt;&gt;""),L141-B141,""),"")</f>
        <v/>
      </c>
      <c r="S141" s="19" t="n"/>
      <c r="T141" s="19" t="n"/>
      <c r="U141" s="17">
        <f>IF(O141&lt;&gt;"",140,"")</f>
        <v/>
      </c>
      <c r="V141" s="18">
        <f>IF(O141&lt;&gt;"",V140+O141,V140)</f>
        <v/>
      </c>
    </row>
    <row r="142">
      <c r="A142" s="8" t="n"/>
      <c r="B142" s="9" t="n"/>
      <c r="C142" s="8" t="n"/>
      <c r="D142" s="8" t="n"/>
      <c r="E142" s="8" t="n"/>
      <c r="F142" s="10" t="n"/>
      <c r="G142" s="10" t="n"/>
      <c r="H142" s="10" t="n"/>
      <c r="I142" s="11" t="n"/>
      <c r="J142" s="10">
        <f>IFERROR(IF(AND(F142&lt;&gt;"",G142&lt;&gt;"",I142&lt;&gt;""),ABS(F142-G142)*I142,""),"")</f>
        <v/>
      </c>
      <c r="K142" s="12">
        <f>IFERROR(IF(AND(F142&lt;&gt;"",G142&lt;&gt;"",H142&lt;&gt;""),ABS(H142-F142)/ABS(F142-G142),""),"")</f>
        <v/>
      </c>
      <c r="L142" s="9" t="n"/>
      <c r="M142" s="10" t="n"/>
      <c r="N142" s="10" t="n"/>
      <c r="O142" s="13">
        <f>IFERROR(IF(AND(M142&lt;&gt;"",F142&lt;&gt;"",I142&lt;&gt;""),IF(D142="Long",(M142-F142)*I142-IF(N142&lt;&gt;"",N142,0),IF(D142="Short",(F142-M142)*I142-IF(N142&lt;&gt;"",N142,0),"")),""),"")</f>
        <v/>
      </c>
      <c r="P142" s="14">
        <f>IFERROR(IF(AND(O142&lt;&gt;"",F142&lt;&gt;"",I142&lt;&gt;""),O142/(F142*I142),""),"")</f>
        <v/>
      </c>
      <c r="Q142" s="15">
        <f>IFERROR(IF(AND(O142&lt;&gt;"",J142&lt;&gt;"",J142&lt;&gt;0),O142/J142,""),"")</f>
        <v/>
      </c>
      <c r="R142" s="16">
        <f>IFERROR(IF(AND(L142&lt;&gt;"",B142&lt;&gt;""),L142-B142,""),"")</f>
        <v/>
      </c>
      <c r="S142" s="8" t="n"/>
      <c r="T142" s="8" t="n"/>
      <c r="U142" s="17">
        <f>IF(O142&lt;&gt;"",141,"")</f>
        <v/>
      </c>
      <c r="V142" s="18">
        <f>IF(O142&lt;&gt;"",V141+O142,V141)</f>
        <v/>
      </c>
    </row>
    <row r="143">
      <c r="A143" s="19" t="n"/>
      <c r="B143" s="20" t="n"/>
      <c r="C143" s="19" t="n"/>
      <c r="D143" s="19" t="n"/>
      <c r="E143" s="19" t="n"/>
      <c r="F143" s="21" t="n"/>
      <c r="G143" s="21" t="n"/>
      <c r="H143" s="21" t="n"/>
      <c r="I143" s="22" t="n"/>
      <c r="J143" s="21">
        <f>IFERROR(IF(AND(F143&lt;&gt;"",G143&lt;&gt;"",I143&lt;&gt;""),ABS(F143-G143)*I143,""),"")</f>
        <v/>
      </c>
      <c r="K143" s="23">
        <f>IFERROR(IF(AND(F143&lt;&gt;"",G143&lt;&gt;"",H143&lt;&gt;""),ABS(H143-F143)/ABS(F143-G143),""),"")</f>
        <v/>
      </c>
      <c r="L143" s="20" t="n"/>
      <c r="M143" s="21" t="n"/>
      <c r="N143" s="21" t="n"/>
      <c r="O143" s="24">
        <f>IFERROR(IF(AND(M143&lt;&gt;"",F143&lt;&gt;"",I143&lt;&gt;""),IF(D143="Long",(M143-F143)*I143-IF(N143&lt;&gt;"",N143,0),IF(D143="Short",(F143-M143)*I143-IF(N143&lt;&gt;"",N143,0),"")),""),"")</f>
        <v/>
      </c>
      <c r="P143" s="25">
        <f>IFERROR(IF(AND(O143&lt;&gt;"",F143&lt;&gt;"",I143&lt;&gt;""),O143/(F143*I143),""),"")</f>
        <v/>
      </c>
      <c r="Q143" s="26">
        <f>IFERROR(IF(AND(O143&lt;&gt;"",J143&lt;&gt;"",J143&lt;&gt;0),O143/J143,""),"")</f>
        <v/>
      </c>
      <c r="R143" s="27">
        <f>IFERROR(IF(AND(L143&lt;&gt;"",B143&lt;&gt;""),L143-B143,""),"")</f>
        <v/>
      </c>
      <c r="S143" s="19" t="n"/>
      <c r="T143" s="19" t="n"/>
      <c r="U143" s="17">
        <f>IF(O143&lt;&gt;"",142,"")</f>
        <v/>
      </c>
      <c r="V143" s="18">
        <f>IF(O143&lt;&gt;"",V142+O143,V142)</f>
        <v/>
      </c>
    </row>
    <row r="144">
      <c r="A144" s="8" t="n"/>
      <c r="B144" s="9" t="n"/>
      <c r="C144" s="8" t="n"/>
      <c r="D144" s="8" t="n"/>
      <c r="E144" s="8" t="n"/>
      <c r="F144" s="10" t="n"/>
      <c r="G144" s="10" t="n"/>
      <c r="H144" s="10" t="n"/>
      <c r="I144" s="11" t="n"/>
      <c r="J144" s="10">
        <f>IFERROR(IF(AND(F144&lt;&gt;"",G144&lt;&gt;"",I144&lt;&gt;""),ABS(F144-G144)*I144,""),"")</f>
        <v/>
      </c>
      <c r="K144" s="12">
        <f>IFERROR(IF(AND(F144&lt;&gt;"",G144&lt;&gt;"",H144&lt;&gt;""),ABS(H144-F144)/ABS(F144-G144),""),"")</f>
        <v/>
      </c>
      <c r="L144" s="9" t="n"/>
      <c r="M144" s="10" t="n"/>
      <c r="N144" s="10" t="n"/>
      <c r="O144" s="13">
        <f>IFERROR(IF(AND(M144&lt;&gt;"",F144&lt;&gt;"",I144&lt;&gt;""),IF(D144="Long",(M144-F144)*I144-IF(N144&lt;&gt;"",N144,0),IF(D144="Short",(F144-M144)*I144-IF(N144&lt;&gt;"",N144,0),"")),""),"")</f>
        <v/>
      </c>
      <c r="P144" s="14">
        <f>IFERROR(IF(AND(O144&lt;&gt;"",F144&lt;&gt;"",I144&lt;&gt;""),O144/(F144*I144),""),"")</f>
        <v/>
      </c>
      <c r="Q144" s="15">
        <f>IFERROR(IF(AND(O144&lt;&gt;"",J144&lt;&gt;"",J144&lt;&gt;0),O144/J144,""),"")</f>
        <v/>
      </c>
      <c r="R144" s="16">
        <f>IFERROR(IF(AND(L144&lt;&gt;"",B144&lt;&gt;""),L144-B144,""),"")</f>
        <v/>
      </c>
      <c r="S144" s="8" t="n"/>
      <c r="T144" s="8" t="n"/>
      <c r="U144" s="17">
        <f>IF(O144&lt;&gt;"",143,"")</f>
        <v/>
      </c>
      <c r="V144" s="18">
        <f>IF(O144&lt;&gt;"",V143+O144,V143)</f>
        <v/>
      </c>
    </row>
    <row r="145">
      <c r="A145" s="19" t="n"/>
      <c r="B145" s="20" t="n"/>
      <c r="C145" s="19" t="n"/>
      <c r="D145" s="19" t="n"/>
      <c r="E145" s="19" t="n"/>
      <c r="F145" s="21" t="n"/>
      <c r="G145" s="21" t="n"/>
      <c r="H145" s="21" t="n"/>
      <c r="I145" s="22" t="n"/>
      <c r="J145" s="21">
        <f>IFERROR(IF(AND(F145&lt;&gt;"",G145&lt;&gt;"",I145&lt;&gt;""),ABS(F145-G145)*I145,""),"")</f>
        <v/>
      </c>
      <c r="K145" s="23">
        <f>IFERROR(IF(AND(F145&lt;&gt;"",G145&lt;&gt;"",H145&lt;&gt;""),ABS(H145-F145)/ABS(F145-G145),""),"")</f>
        <v/>
      </c>
      <c r="L145" s="20" t="n"/>
      <c r="M145" s="21" t="n"/>
      <c r="N145" s="21" t="n"/>
      <c r="O145" s="24">
        <f>IFERROR(IF(AND(M145&lt;&gt;"",F145&lt;&gt;"",I145&lt;&gt;""),IF(D145="Long",(M145-F145)*I145-IF(N145&lt;&gt;"",N145,0),IF(D145="Short",(F145-M145)*I145-IF(N145&lt;&gt;"",N145,0),"")),""),"")</f>
        <v/>
      </c>
      <c r="P145" s="25">
        <f>IFERROR(IF(AND(O145&lt;&gt;"",F145&lt;&gt;"",I145&lt;&gt;""),O145/(F145*I145),""),"")</f>
        <v/>
      </c>
      <c r="Q145" s="26">
        <f>IFERROR(IF(AND(O145&lt;&gt;"",J145&lt;&gt;"",J145&lt;&gt;0),O145/J145,""),"")</f>
        <v/>
      </c>
      <c r="R145" s="27">
        <f>IFERROR(IF(AND(L145&lt;&gt;"",B145&lt;&gt;""),L145-B145,""),"")</f>
        <v/>
      </c>
      <c r="S145" s="19" t="n"/>
      <c r="T145" s="19" t="n"/>
      <c r="U145" s="17">
        <f>IF(O145&lt;&gt;"",144,"")</f>
        <v/>
      </c>
      <c r="V145" s="18">
        <f>IF(O145&lt;&gt;"",V144+O145,V144)</f>
        <v/>
      </c>
    </row>
    <row r="146">
      <c r="A146" s="8" t="n"/>
      <c r="B146" s="9" t="n"/>
      <c r="C146" s="8" t="n"/>
      <c r="D146" s="8" t="n"/>
      <c r="E146" s="8" t="n"/>
      <c r="F146" s="10" t="n"/>
      <c r="G146" s="10" t="n"/>
      <c r="H146" s="10" t="n"/>
      <c r="I146" s="11" t="n"/>
      <c r="J146" s="10">
        <f>IFERROR(IF(AND(F146&lt;&gt;"",G146&lt;&gt;"",I146&lt;&gt;""),ABS(F146-G146)*I146,""),"")</f>
        <v/>
      </c>
      <c r="K146" s="12">
        <f>IFERROR(IF(AND(F146&lt;&gt;"",G146&lt;&gt;"",H146&lt;&gt;""),ABS(H146-F146)/ABS(F146-G146),""),"")</f>
        <v/>
      </c>
      <c r="L146" s="9" t="n"/>
      <c r="M146" s="10" t="n"/>
      <c r="N146" s="10" t="n"/>
      <c r="O146" s="13">
        <f>IFERROR(IF(AND(M146&lt;&gt;"",F146&lt;&gt;"",I146&lt;&gt;""),IF(D146="Long",(M146-F146)*I146-IF(N146&lt;&gt;"",N146,0),IF(D146="Short",(F146-M146)*I146-IF(N146&lt;&gt;"",N146,0),"")),""),"")</f>
        <v/>
      </c>
      <c r="P146" s="14">
        <f>IFERROR(IF(AND(O146&lt;&gt;"",F146&lt;&gt;"",I146&lt;&gt;""),O146/(F146*I146),""),"")</f>
        <v/>
      </c>
      <c r="Q146" s="15">
        <f>IFERROR(IF(AND(O146&lt;&gt;"",J146&lt;&gt;"",J146&lt;&gt;0),O146/J146,""),"")</f>
        <v/>
      </c>
      <c r="R146" s="16">
        <f>IFERROR(IF(AND(L146&lt;&gt;"",B146&lt;&gt;""),L146-B146,""),"")</f>
        <v/>
      </c>
      <c r="S146" s="8" t="n"/>
      <c r="T146" s="8" t="n"/>
      <c r="U146" s="17">
        <f>IF(O146&lt;&gt;"",145,"")</f>
        <v/>
      </c>
      <c r="V146" s="18">
        <f>IF(O146&lt;&gt;"",V145+O146,V145)</f>
        <v/>
      </c>
    </row>
    <row r="147">
      <c r="A147" s="19" t="n"/>
      <c r="B147" s="20" t="n"/>
      <c r="C147" s="19" t="n"/>
      <c r="D147" s="19" t="n"/>
      <c r="E147" s="19" t="n"/>
      <c r="F147" s="21" t="n"/>
      <c r="G147" s="21" t="n"/>
      <c r="H147" s="21" t="n"/>
      <c r="I147" s="22" t="n"/>
      <c r="J147" s="21">
        <f>IFERROR(IF(AND(F147&lt;&gt;"",G147&lt;&gt;"",I147&lt;&gt;""),ABS(F147-G147)*I147,""),"")</f>
        <v/>
      </c>
      <c r="K147" s="23">
        <f>IFERROR(IF(AND(F147&lt;&gt;"",G147&lt;&gt;"",H147&lt;&gt;""),ABS(H147-F147)/ABS(F147-G147),""),"")</f>
        <v/>
      </c>
      <c r="L147" s="20" t="n"/>
      <c r="M147" s="21" t="n"/>
      <c r="N147" s="21" t="n"/>
      <c r="O147" s="24">
        <f>IFERROR(IF(AND(M147&lt;&gt;"",F147&lt;&gt;"",I147&lt;&gt;""),IF(D147="Long",(M147-F147)*I147-IF(N147&lt;&gt;"",N147,0),IF(D147="Short",(F147-M147)*I147-IF(N147&lt;&gt;"",N147,0),"")),""),"")</f>
        <v/>
      </c>
      <c r="P147" s="25">
        <f>IFERROR(IF(AND(O147&lt;&gt;"",F147&lt;&gt;"",I147&lt;&gt;""),O147/(F147*I147),""),"")</f>
        <v/>
      </c>
      <c r="Q147" s="26">
        <f>IFERROR(IF(AND(O147&lt;&gt;"",J147&lt;&gt;"",J147&lt;&gt;0),O147/J147,""),"")</f>
        <v/>
      </c>
      <c r="R147" s="27">
        <f>IFERROR(IF(AND(L147&lt;&gt;"",B147&lt;&gt;""),L147-B147,""),"")</f>
        <v/>
      </c>
      <c r="S147" s="19" t="n"/>
      <c r="T147" s="19" t="n"/>
      <c r="U147" s="17">
        <f>IF(O147&lt;&gt;"",146,"")</f>
        <v/>
      </c>
      <c r="V147" s="18">
        <f>IF(O147&lt;&gt;"",V146+O147,V146)</f>
        <v/>
      </c>
    </row>
    <row r="148">
      <c r="A148" s="8" t="n"/>
      <c r="B148" s="9" t="n"/>
      <c r="C148" s="8" t="n"/>
      <c r="D148" s="8" t="n"/>
      <c r="E148" s="8" t="n"/>
      <c r="F148" s="10" t="n"/>
      <c r="G148" s="10" t="n"/>
      <c r="H148" s="10" t="n"/>
      <c r="I148" s="11" t="n"/>
      <c r="J148" s="10">
        <f>IFERROR(IF(AND(F148&lt;&gt;"",G148&lt;&gt;"",I148&lt;&gt;""),ABS(F148-G148)*I148,""),"")</f>
        <v/>
      </c>
      <c r="K148" s="12">
        <f>IFERROR(IF(AND(F148&lt;&gt;"",G148&lt;&gt;"",H148&lt;&gt;""),ABS(H148-F148)/ABS(F148-G148),""),"")</f>
        <v/>
      </c>
      <c r="L148" s="9" t="n"/>
      <c r="M148" s="10" t="n"/>
      <c r="N148" s="10" t="n"/>
      <c r="O148" s="13">
        <f>IFERROR(IF(AND(M148&lt;&gt;"",F148&lt;&gt;"",I148&lt;&gt;""),IF(D148="Long",(M148-F148)*I148-IF(N148&lt;&gt;"",N148,0),IF(D148="Short",(F148-M148)*I148-IF(N148&lt;&gt;"",N148,0),"")),""),"")</f>
        <v/>
      </c>
      <c r="P148" s="14">
        <f>IFERROR(IF(AND(O148&lt;&gt;"",F148&lt;&gt;"",I148&lt;&gt;""),O148/(F148*I148),""),"")</f>
        <v/>
      </c>
      <c r="Q148" s="15">
        <f>IFERROR(IF(AND(O148&lt;&gt;"",J148&lt;&gt;"",J148&lt;&gt;0),O148/J148,""),"")</f>
        <v/>
      </c>
      <c r="R148" s="16">
        <f>IFERROR(IF(AND(L148&lt;&gt;"",B148&lt;&gt;""),L148-B148,""),"")</f>
        <v/>
      </c>
      <c r="S148" s="8" t="n"/>
      <c r="T148" s="8" t="n"/>
      <c r="U148" s="17">
        <f>IF(O148&lt;&gt;"",147,"")</f>
        <v/>
      </c>
      <c r="V148" s="18">
        <f>IF(O148&lt;&gt;"",V147+O148,V147)</f>
        <v/>
      </c>
    </row>
    <row r="149">
      <c r="A149" s="19" t="n"/>
      <c r="B149" s="20" t="n"/>
      <c r="C149" s="19" t="n"/>
      <c r="D149" s="19" t="n"/>
      <c r="E149" s="19" t="n"/>
      <c r="F149" s="21" t="n"/>
      <c r="G149" s="21" t="n"/>
      <c r="H149" s="21" t="n"/>
      <c r="I149" s="22" t="n"/>
      <c r="J149" s="21">
        <f>IFERROR(IF(AND(F149&lt;&gt;"",G149&lt;&gt;"",I149&lt;&gt;""),ABS(F149-G149)*I149,""),"")</f>
        <v/>
      </c>
      <c r="K149" s="23">
        <f>IFERROR(IF(AND(F149&lt;&gt;"",G149&lt;&gt;"",H149&lt;&gt;""),ABS(H149-F149)/ABS(F149-G149),""),"")</f>
        <v/>
      </c>
      <c r="L149" s="20" t="n"/>
      <c r="M149" s="21" t="n"/>
      <c r="N149" s="21" t="n"/>
      <c r="O149" s="24">
        <f>IFERROR(IF(AND(M149&lt;&gt;"",F149&lt;&gt;"",I149&lt;&gt;""),IF(D149="Long",(M149-F149)*I149-IF(N149&lt;&gt;"",N149,0),IF(D149="Short",(F149-M149)*I149-IF(N149&lt;&gt;"",N149,0),"")),""),"")</f>
        <v/>
      </c>
      <c r="P149" s="25">
        <f>IFERROR(IF(AND(O149&lt;&gt;"",F149&lt;&gt;"",I149&lt;&gt;""),O149/(F149*I149),""),"")</f>
        <v/>
      </c>
      <c r="Q149" s="26">
        <f>IFERROR(IF(AND(O149&lt;&gt;"",J149&lt;&gt;"",J149&lt;&gt;0),O149/J149,""),"")</f>
        <v/>
      </c>
      <c r="R149" s="27">
        <f>IFERROR(IF(AND(L149&lt;&gt;"",B149&lt;&gt;""),L149-B149,""),"")</f>
        <v/>
      </c>
      <c r="S149" s="19" t="n"/>
      <c r="T149" s="19" t="n"/>
      <c r="U149" s="17">
        <f>IF(O149&lt;&gt;"",148,"")</f>
        <v/>
      </c>
      <c r="V149" s="18">
        <f>IF(O149&lt;&gt;"",V148+O149,V148)</f>
        <v/>
      </c>
    </row>
    <row r="150">
      <c r="A150" s="8" t="n"/>
      <c r="B150" s="9" t="n"/>
      <c r="C150" s="8" t="n"/>
      <c r="D150" s="8" t="n"/>
      <c r="E150" s="8" t="n"/>
      <c r="F150" s="10" t="n"/>
      <c r="G150" s="10" t="n"/>
      <c r="H150" s="10" t="n"/>
      <c r="I150" s="11" t="n"/>
      <c r="J150" s="10">
        <f>IFERROR(IF(AND(F150&lt;&gt;"",G150&lt;&gt;"",I150&lt;&gt;""),ABS(F150-G150)*I150,""),"")</f>
        <v/>
      </c>
      <c r="K150" s="12">
        <f>IFERROR(IF(AND(F150&lt;&gt;"",G150&lt;&gt;"",H150&lt;&gt;""),ABS(H150-F150)/ABS(F150-G150),""),"")</f>
        <v/>
      </c>
      <c r="L150" s="9" t="n"/>
      <c r="M150" s="10" t="n"/>
      <c r="N150" s="10" t="n"/>
      <c r="O150" s="13">
        <f>IFERROR(IF(AND(M150&lt;&gt;"",F150&lt;&gt;"",I150&lt;&gt;""),IF(D150="Long",(M150-F150)*I150-IF(N150&lt;&gt;"",N150,0),IF(D150="Short",(F150-M150)*I150-IF(N150&lt;&gt;"",N150,0),"")),""),"")</f>
        <v/>
      </c>
      <c r="P150" s="14">
        <f>IFERROR(IF(AND(O150&lt;&gt;"",F150&lt;&gt;"",I150&lt;&gt;""),O150/(F150*I150),""),"")</f>
        <v/>
      </c>
      <c r="Q150" s="15">
        <f>IFERROR(IF(AND(O150&lt;&gt;"",J150&lt;&gt;"",J150&lt;&gt;0),O150/J150,""),"")</f>
        <v/>
      </c>
      <c r="R150" s="16">
        <f>IFERROR(IF(AND(L150&lt;&gt;"",B150&lt;&gt;""),L150-B150,""),"")</f>
        <v/>
      </c>
      <c r="S150" s="8" t="n"/>
      <c r="T150" s="8" t="n"/>
      <c r="U150" s="17">
        <f>IF(O150&lt;&gt;"",149,"")</f>
        <v/>
      </c>
      <c r="V150" s="18">
        <f>IF(O150&lt;&gt;"",V149+O150,V149)</f>
        <v/>
      </c>
    </row>
    <row r="151">
      <c r="A151" s="19" t="n"/>
      <c r="B151" s="20" t="n"/>
      <c r="C151" s="19" t="n"/>
      <c r="D151" s="19" t="n"/>
      <c r="E151" s="19" t="n"/>
      <c r="F151" s="21" t="n"/>
      <c r="G151" s="21" t="n"/>
      <c r="H151" s="21" t="n"/>
      <c r="I151" s="22" t="n"/>
      <c r="J151" s="21">
        <f>IFERROR(IF(AND(F151&lt;&gt;"",G151&lt;&gt;"",I151&lt;&gt;""),ABS(F151-G151)*I151,""),"")</f>
        <v/>
      </c>
      <c r="K151" s="23">
        <f>IFERROR(IF(AND(F151&lt;&gt;"",G151&lt;&gt;"",H151&lt;&gt;""),ABS(H151-F151)/ABS(F151-G151),""),"")</f>
        <v/>
      </c>
      <c r="L151" s="20" t="n"/>
      <c r="M151" s="21" t="n"/>
      <c r="N151" s="21" t="n"/>
      <c r="O151" s="24">
        <f>IFERROR(IF(AND(M151&lt;&gt;"",F151&lt;&gt;"",I151&lt;&gt;""),IF(D151="Long",(M151-F151)*I151-IF(N151&lt;&gt;"",N151,0),IF(D151="Short",(F151-M151)*I151-IF(N151&lt;&gt;"",N151,0),"")),""),"")</f>
        <v/>
      </c>
      <c r="P151" s="25">
        <f>IFERROR(IF(AND(O151&lt;&gt;"",F151&lt;&gt;"",I151&lt;&gt;""),O151/(F151*I151),""),"")</f>
        <v/>
      </c>
      <c r="Q151" s="26">
        <f>IFERROR(IF(AND(O151&lt;&gt;"",J151&lt;&gt;"",J151&lt;&gt;0),O151/J151,""),"")</f>
        <v/>
      </c>
      <c r="R151" s="27">
        <f>IFERROR(IF(AND(L151&lt;&gt;"",B151&lt;&gt;""),L151-B151,""),"")</f>
        <v/>
      </c>
      <c r="S151" s="19" t="n"/>
      <c r="T151" s="19" t="n"/>
      <c r="U151" s="17">
        <f>IF(O151&lt;&gt;"",150,"")</f>
        <v/>
      </c>
      <c r="V151" s="18">
        <f>IF(O151&lt;&gt;"",V150+O151,V150)</f>
        <v/>
      </c>
    </row>
    <row r="152">
      <c r="A152" s="8" t="n"/>
      <c r="B152" s="9" t="n"/>
      <c r="C152" s="8" t="n"/>
      <c r="D152" s="8" t="n"/>
      <c r="E152" s="8" t="n"/>
      <c r="F152" s="10" t="n"/>
      <c r="G152" s="10" t="n"/>
      <c r="H152" s="10" t="n"/>
      <c r="I152" s="11" t="n"/>
      <c r="J152" s="10">
        <f>IFERROR(IF(AND(F152&lt;&gt;"",G152&lt;&gt;"",I152&lt;&gt;""),ABS(F152-G152)*I152,""),"")</f>
        <v/>
      </c>
      <c r="K152" s="12">
        <f>IFERROR(IF(AND(F152&lt;&gt;"",G152&lt;&gt;"",H152&lt;&gt;""),ABS(H152-F152)/ABS(F152-G152),""),"")</f>
        <v/>
      </c>
      <c r="L152" s="9" t="n"/>
      <c r="M152" s="10" t="n"/>
      <c r="N152" s="10" t="n"/>
      <c r="O152" s="13">
        <f>IFERROR(IF(AND(M152&lt;&gt;"",F152&lt;&gt;"",I152&lt;&gt;""),IF(D152="Long",(M152-F152)*I152-IF(N152&lt;&gt;"",N152,0),IF(D152="Short",(F152-M152)*I152-IF(N152&lt;&gt;"",N152,0),"")),""),"")</f>
        <v/>
      </c>
      <c r="P152" s="14">
        <f>IFERROR(IF(AND(O152&lt;&gt;"",F152&lt;&gt;"",I152&lt;&gt;""),O152/(F152*I152),""),"")</f>
        <v/>
      </c>
      <c r="Q152" s="15">
        <f>IFERROR(IF(AND(O152&lt;&gt;"",J152&lt;&gt;"",J152&lt;&gt;0),O152/J152,""),"")</f>
        <v/>
      </c>
      <c r="R152" s="16">
        <f>IFERROR(IF(AND(L152&lt;&gt;"",B152&lt;&gt;""),L152-B152,""),"")</f>
        <v/>
      </c>
      <c r="S152" s="8" t="n"/>
      <c r="T152" s="8" t="n"/>
      <c r="U152" s="17">
        <f>IF(O152&lt;&gt;"",151,"")</f>
        <v/>
      </c>
      <c r="V152" s="18">
        <f>IF(O152&lt;&gt;"",V151+O152,V151)</f>
        <v/>
      </c>
    </row>
    <row r="153">
      <c r="A153" s="19" t="n"/>
      <c r="B153" s="20" t="n"/>
      <c r="C153" s="19" t="n"/>
      <c r="D153" s="19" t="n"/>
      <c r="E153" s="19" t="n"/>
      <c r="F153" s="21" t="n"/>
      <c r="G153" s="21" t="n"/>
      <c r="H153" s="21" t="n"/>
      <c r="I153" s="22" t="n"/>
      <c r="J153" s="21">
        <f>IFERROR(IF(AND(F153&lt;&gt;"",G153&lt;&gt;"",I153&lt;&gt;""),ABS(F153-G153)*I153,""),"")</f>
        <v/>
      </c>
      <c r="K153" s="23">
        <f>IFERROR(IF(AND(F153&lt;&gt;"",G153&lt;&gt;"",H153&lt;&gt;""),ABS(H153-F153)/ABS(F153-G153),""),"")</f>
        <v/>
      </c>
      <c r="L153" s="20" t="n"/>
      <c r="M153" s="21" t="n"/>
      <c r="N153" s="21" t="n"/>
      <c r="O153" s="24">
        <f>IFERROR(IF(AND(M153&lt;&gt;"",F153&lt;&gt;"",I153&lt;&gt;""),IF(D153="Long",(M153-F153)*I153-IF(N153&lt;&gt;"",N153,0),IF(D153="Short",(F153-M153)*I153-IF(N153&lt;&gt;"",N153,0),"")),""),"")</f>
        <v/>
      </c>
      <c r="P153" s="25">
        <f>IFERROR(IF(AND(O153&lt;&gt;"",F153&lt;&gt;"",I153&lt;&gt;""),O153/(F153*I153),""),"")</f>
        <v/>
      </c>
      <c r="Q153" s="26">
        <f>IFERROR(IF(AND(O153&lt;&gt;"",J153&lt;&gt;"",J153&lt;&gt;0),O153/J153,""),"")</f>
        <v/>
      </c>
      <c r="R153" s="27">
        <f>IFERROR(IF(AND(L153&lt;&gt;"",B153&lt;&gt;""),L153-B153,""),"")</f>
        <v/>
      </c>
      <c r="S153" s="19" t="n"/>
      <c r="T153" s="19" t="n"/>
      <c r="U153" s="17">
        <f>IF(O153&lt;&gt;"",152,"")</f>
        <v/>
      </c>
      <c r="V153" s="18">
        <f>IF(O153&lt;&gt;"",V152+O153,V152)</f>
        <v/>
      </c>
    </row>
    <row r="154">
      <c r="A154" s="8" t="n"/>
      <c r="B154" s="9" t="n"/>
      <c r="C154" s="8" t="n"/>
      <c r="D154" s="8" t="n"/>
      <c r="E154" s="8" t="n"/>
      <c r="F154" s="10" t="n"/>
      <c r="G154" s="10" t="n"/>
      <c r="H154" s="10" t="n"/>
      <c r="I154" s="11" t="n"/>
      <c r="J154" s="10">
        <f>IFERROR(IF(AND(F154&lt;&gt;"",G154&lt;&gt;"",I154&lt;&gt;""),ABS(F154-G154)*I154,""),"")</f>
        <v/>
      </c>
      <c r="K154" s="12">
        <f>IFERROR(IF(AND(F154&lt;&gt;"",G154&lt;&gt;"",H154&lt;&gt;""),ABS(H154-F154)/ABS(F154-G154),""),"")</f>
        <v/>
      </c>
      <c r="L154" s="9" t="n"/>
      <c r="M154" s="10" t="n"/>
      <c r="N154" s="10" t="n"/>
      <c r="O154" s="13">
        <f>IFERROR(IF(AND(M154&lt;&gt;"",F154&lt;&gt;"",I154&lt;&gt;""),IF(D154="Long",(M154-F154)*I154-IF(N154&lt;&gt;"",N154,0),IF(D154="Short",(F154-M154)*I154-IF(N154&lt;&gt;"",N154,0),"")),""),"")</f>
        <v/>
      </c>
      <c r="P154" s="14">
        <f>IFERROR(IF(AND(O154&lt;&gt;"",F154&lt;&gt;"",I154&lt;&gt;""),O154/(F154*I154),""),"")</f>
        <v/>
      </c>
      <c r="Q154" s="15">
        <f>IFERROR(IF(AND(O154&lt;&gt;"",J154&lt;&gt;"",J154&lt;&gt;0),O154/J154,""),"")</f>
        <v/>
      </c>
      <c r="R154" s="16">
        <f>IFERROR(IF(AND(L154&lt;&gt;"",B154&lt;&gt;""),L154-B154,""),"")</f>
        <v/>
      </c>
      <c r="S154" s="8" t="n"/>
      <c r="T154" s="8" t="n"/>
      <c r="U154" s="17">
        <f>IF(O154&lt;&gt;"",153,"")</f>
        <v/>
      </c>
      <c r="V154" s="18">
        <f>IF(O154&lt;&gt;"",V153+O154,V153)</f>
        <v/>
      </c>
    </row>
    <row r="155">
      <c r="A155" s="19" t="n"/>
      <c r="B155" s="20" t="n"/>
      <c r="C155" s="19" t="n"/>
      <c r="D155" s="19" t="n"/>
      <c r="E155" s="19" t="n"/>
      <c r="F155" s="21" t="n"/>
      <c r="G155" s="21" t="n"/>
      <c r="H155" s="21" t="n"/>
      <c r="I155" s="22" t="n"/>
      <c r="J155" s="21">
        <f>IFERROR(IF(AND(F155&lt;&gt;"",G155&lt;&gt;"",I155&lt;&gt;""),ABS(F155-G155)*I155,""),"")</f>
        <v/>
      </c>
      <c r="K155" s="23">
        <f>IFERROR(IF(AND(F155&lt;&gt;"",G155&lt;&gt;"",H155&lt;&gt;""),ABS(H155-F155)/ABS(F155-G155),""),"")</f>
        <v/>
      </c>
      <c r="L155" s="20" t="n"/>
      <c r="M155" s="21" t="n"/>
      <c r="N155" s="21" t="n"/>
      <c r="O155" s="24">
        <f>IFERROR(IF(AND(M155&lt;&gt;"",F155&lt;&gt;"",I155&lt;&gt;""),IF(D155="Long",(M155-F155)*I155-IF(N155&lt;&gt;"",N155,0),IF(D155="Short",(F155-M155)*I155-IF(N155&lt;&gt;"",N155,0),"")),""),"")</f>
        <v/>
      </c>
      <c r="P155" s="25">
        <f>IFERROR(IF(AND(O155&lt;&gt;"",F155&lt;&gt;"",I155&lt;&gt;""),O155/(F155*I155),""),"")</f>
        <v/>
      </c>
      <c r="Q155" s="26">
        <f>IFERROR(IF(AND(O155&lt;&gt;"",J155&lt;&gt;"",J155&lt;&gt;0),O155/J155,""),"")</f>
        <v/>
      </c>
      <c r="R155" s="27">
        <f>IFERROR(IF(AND(L155&lt;&gt;"",B155&lt;&gt;""),L155-B155,""),"")</f>
        <v/>
      </c>
      <c r="S155" s="19" t="n"/>
      <c r="T155" s="19" t="n"/>
      <c r="U155" s="17">
        <f>IF(O155&lt;&gt;"",154,"")</f>
        <v/>
      </c>
      <c r="V155" s="18">
        <f>IF(O155&lt;&gt;"",V154+O155,V154)</f>
        <v/>
      </c>
    </row>
    <row r="156">
      <c r="A156" s="8" t="n"/>
      <c r="B156" s="9" t="n"/>
      <c r="C156" s="8" t="n"/>
      <c r="D156" s="8" t="n"/>
      <c r="E156" s="8" t="n"/>
      <c r="F156" s="10" t="n"/>
      <c r="G156" s="10" t="n"/>
      <c r="H156" s="10" t="n"/>
      <c r="I156" s="11" t="n"/>
      <c r="J156" s="10">
        <f>IFERROR(IF(AND(F156&lt;&gt;"",G156&lt;&gt;"",I156&lt;&gt;""),ABS(F156-G156)*I156,""),"")</f>
        <v/>
      </c>
      <c r="K156" s="12">
        <f>IFERROR(IF(AND(F156&lt;&gt;"",G156&lt;&gt;"",H156&lt;&gt;""),ABS(H156-F156)/ABS(F156-G156),""),"")</f>
        <v/>
      </c>
      <c r="L156" s="9" t="n"/>
      <c r="M156" s="10" t="n"/>
      <c r="N156" s="10" t="n"/>
      <c r="O156" s="13">
        <f>IFERROR(IF(AND(M156&lt;&gt;"",F156&lt;&gt;"",I156&lt;&gt;""),IF(D156="Long",(M156-F156)*I156-IF(N156&lt;&gt;"",N156,0),IF(D156="Short",(F156-M156)*I156-IF(N156&lt;&gt;"",N156,0),"")),""),"")</f>
        <v/>
      </c>
      <c r="P156" s="14">
        <f>IFERROR(IF(AND(O156&lt;&gt;"",F156&lt;&gt;"",I156&lt;&gt;""),O156/(F156*I156),""),"")</f>
        <v/>
      </c>
      <c r="Q156" s="15">
        <f>IFERROR(IF(AND(O156&lt;&gt;"",J156&lt;&gt;"",J156&lt;&gt;0),O156/J156,""),"")</f>
        <v/>
      </c>
      <c r="R156" s="16">
        <f>IFERROR(IF(AND(L156&lt;&gt;"",B156&lt;&gt;""),L156-B156,""),"")</f>
        <v/>
      </c>
      <c r="S156" s="8" t="n"/>
      <c r="T156" s="8" t="n"/>
      <c r="U156" s="17">
        <f>IF(O156&lt;&gt;"",155,"")</f>
        <v/>
      </c>
      <c r="V156" s="18">
        <f>IF(O156&lt;&gt;"",V155+O156,V155)</f>
        <v/>
      </c>
    </row>
    <row r="157">
      <c r="A157" s="19" t="n"/>
      <c r="B157" s="20" t="n"/>
      <c r="C157" s="19" t="n"/>
      <c r="D157" s="19" t="n"/>
      <c r="E157" s="19" t="n"/>
      <c r="F157" s="21" t="n"/>
      <c r="G157" s="21" t="n"/>
      <c r="H157" s="21" t="n"/>
      <c r="I157" s="22" t="n"/>
      <c r="J157" s="21">
        <f>IFERROR(IF(AND(F157&lt;&gt;"",G157&lt;&gt;"",I157&lt;&gt;""),ABS(F157-G157)*I157,""),"")</f>
        <v/>
      </c>
      <c r="K157" s="23">
        <f>IFERROR(IF(AND(F157&lt;&gt;"",G157&lt;&gt;"",H157&lt;&gt;""),ABS(H157-F157)/ABS(F157-G157),""),"")</f>
        <v/>
      </c>
      <c r="L157" s="20" t="n"/>
      <c r="M157" s="21" t="n"/>
      <c r="N157" s="21" t="n"/>
      <c r="O157" s="24">
        <f>IFERROR(IF(AND(M157&lt;&gt;"",F157&lt;&gt;"",I157&lt;&gt;""),IF(D157="Long",(M157-F157)*I157-IF(N157&lt;&gt;"",N157,0),IF(D157="Short",(F157-M157)*I157-IF(N157&lt;&gt;"",N157,0),"")),""),"")</f>
        <v/>
      </c>
      <c r="P157" s="25">
        <f>IFERROR(IF(AND(O157&lt;&gt;"",F157&lt;&gt;"",I157&lt;&gt;""),O157/(F157*I157),""),"")</f>
        <v/>
      </c>
      <c r="Q157" s="26">
        <f>IFERROR(IF(AND(O157&lt;&gt;"",J157&lt;&gt;"",J157&lt;&gt;0),O157/J157,""),"")</f>
        <v/>
      </c>
      <c r="R157" s="27">
        <f>IFERROR(IF(AND(L157&lt;&gt;"",B157&lt;&gt;""),L157-B157,""),"")</f>
        <v/>
      </c>
      <c r="S157" s="19" t="n"/>
      <c r="T157" s="19" t="n"/>
      <c r="U157" s="17">
        <f>IF(O157&lt;&gt;"",156,"")</f>
        <v/>
      </c>
      <c r="V157" s="18">
        <f>IF(O157&lt;&gt;"",V156+O157,V156)</f>
        <v/>
      </c>
    </row>
    <row r="158">
      <c r="A158" s="8" t="n"/>
      <c r="B158" s="9" t="n"/>
      <c r="C158" s="8" t="n"/>
      <c r="D158" s="8" t="n"/>
      <c r="E158" s="8" t="n"/>
      <c r="F158" s="10" t="n"/>
      <c r="G158" s="10" t="n"/>
      <c r="H158" s="10" t="n"/>
      <c r="I158" s="11" t="n"/>
      <c r="J158" s="10">
        <f>IFERROR(IF(AND(F158&lt;&gt;"",G158&lt;&gt;"",I158&lt;&gt;""),ABS(F158-G158)*I158,""),"")</f>
        <v/>
      </c>
      <c r="K158" s="12">
        <f>IFERROR(IF(AND(F158&lt;&gt;"",G158&lt;&gt;"",H158&lt;&gt;""),ABS(H158-F158)/ABS(F158-G158),""),"")</f>
        <v/>
      </c>
      <c r="L158" s="9" t="n"/>
      <c r="M158" s="10" t="n"/>
      <c r="N158" s="10" t="n"/>
      <c r="O158" s="13">
        <f>IFERROR(IF(AND(M158&lt;&gt;"",F158&lt;&gt;"",I158&lt;&gt;""),IF(D158="Long",(M158-F158)*I158-IF(N158&lt;&gt;"",N158,0),IF(D158="Short",(F158-M158)*I158-IF(N158&lt;&gt;"",N158,0),"")),""),"")</f>
        <v/>
      </c>
      <c r="P158" s="14">
        <f>IFERROR(IF(AND(O158&lt;&gt;"",F158&lt;&gt;"",I158&lt;&gt;""),O158/(F158*I158),""),"")</f>
        <v/>
      </c>
      <c r="Q158" s="15">
        <f>IFERROR(IF(AND(O158&lt;&gt;"",J158&lt;&gt;"",J158&lt;&gt;0),O158/J158,""),"")</f>
        <v/>
      </c>
      <c r="R158" s="16">
        <f>IFERROR(IF(AND(L158&lt;&gt;"",B158&lt;&gt;""),L158-B158,""),"")</f>
        <v/>
      </c>
      <c r="S158" s="8" t="n"/>
      <c r="T158" s="8" t="n"/>
      <c r="U158" s="17">
        <f>IF(O158&lt;&gt;"",157,"")</f>
        <v/>
      </c>
      <c r="V158" s="18">
        <f>IF(O158&lt;&gt;"",V157+O158,V157)</f>
        <v/>
      </c>
    </row>
    <row r="159">
      <c r="A159" s="19" t="n"/>
      <c r="B159" s="20" t="n"/>
      <c r="C159" s="19" t="n"/>
      <c r="D159" s="19" t="n"/>
      <c r="E159" s="19" t="n"/>
      <c r="F159" s="21" t="n"/>
      <c r="G159" s="21" t="n"/>
      <c r="H159" s="21" t="n"/>
      <c r="I159" s="22" t="n"/>
      <c r="J159" s="21">
        <f>IFERROR(IF(AND(F159&lt;&gt;"",G159&lt;&gt;"",I159&lt;&gt;""),ABS(F159-G159)*I159,""),"")</f>
        <v/>
      </c>
      <c r="K159" s="23">
        <f>IFERROR(IF(AND(F159&lt;&gt;"",G159&lt;&gt;"",H159&lt;&gt;""),ABS(H159-F159)/ABS(F159-G159),""),"")</f>
        <v/>
      </c>
      <c r="L159" s="20" t="n"/>
      <c r="M159" s="21" t="n"/>
      <c r="N159" s="21" t="n"/>
      <c r="O159" s="24">
        <f>IFERROR(IF(AND(M159&lt;&gt;"",F159&lt;&gt;"",I159&lt;&gt;""),IF(D159="Long",(M159-F159)*I159-IF(N159&lt;&gt;"",N159,0),IF(D159="Short",(F159-M159)*I159-IF(N159&lt;&gt;"",N159,0),"")),""),"")</f>
        <v/>
      </c>
      <c r="P159" s="25">
        <f>IFERROR(IF(AND(O159&lt;&gt;"",F159&lt;&gt;"",I159&lt;&gt;""),O159/(F159*I159),""),"")</f>
        <v/>
      </c>
      <c r="Q159" s="26">
        <f>IFERROR(IF(AND(O159&lt;&gt;"",J159&lt;&gt;"",J159&lt;&gt;0),O159/J159,""),"")</f>
        <v/>
      </c>
      <c r="R159" s="27">
        <f>IFERROR(IF(AND(L159&lt;&gt;"",B159&lt;&gt;""),L159-B159,""),"")</f>
        <v/>
      </c>
      <c r="S159" s="19" t="n"/>
      <c r="T159" s="19" t="n"/>
      <c r="U159" s="17">
        <f>IF(O159&lt;&gt;"",158,"")</f>
        <v/>
      </c>
      <c r="V159" s="18">
        <f>IF(O159&lt;&gt;"",V158+O159,V158)</f>
        <v/>
      </c>
    </row>
    <row r="160">
      <c r="A160" s="8" t="n"/>
      <c r="B160" s="9" t="n"/>
      <c r="C160" s="8" t="n"/>
      <c r="D160" s="8" t="n"/>
      <c r="E160" s="8" t="n"/>
      <c r="F160" s="10" t="n"/>
      <c r="G160" s="10" t="n"/>
      <c r="H160" s="10" t="n"/>
      <c r="I160" s="11" t="n"/>
      <c r="J160" s="10">
        <f>IFERROR(IF(AND(F160&lt;&gt;"",G160&lt;&gt;"",I160&lt;&gt;""),ABS(F160-G160)*I160,""),"")</f>
        <v/>
      </c>
      <c r="K160" s="12">
        <f>IFERROR(IF(AND(F160&lt;&gt;"",G160&lt;&gt;"",H160&lt;&gt;""),ABS(H160-F160)/ABS(F160-G160),""),"")</f>
        <v/>
      </c>
      <c r="L160" s="9" t="n"/>
      <c r="M160" s="10" t="n"/>
      <c r="N160" s="10" t="n"/>
      <c r="O160" s="13">
        <f>IFERROR(IF(AND(M160&lt;&gt;"",F160&lt;&gt;"",I160&lt;&gt;""),IF(D160="Long",(M160-F160)*I160-IF(N160&lt;&gt;"",N160,0),IF(D160="Short",(F160-M160)*I160-IF(N160&lt;&gt;"",N160,0),"")),""),"")</f>
        <v/>
      </c>
      <c r="P160" s="14">
        <f>IFERROR(IF(AND(O160&lt;&gt;"",F160&lt;&gt;"",I160&lt;&gt;""),O160/(F160*I160),""),"")</f>
        <v/>
      </c>
      <c r="Q160" s="15">
        <f>IFERROR(IF(AND(O160&lt;&gt;"",J160&lt;&gt;"",J160&lt;&gt;0),O160/J160,""),"")</f>
        <v/>
      </c>
      <c r="R160" s="16">
        <f>IFERROR(IF(AND(L160&lt;&gt;"",B160&lt;&gt;""),L160-B160,""),"")</f>
        <v/>
      </c>
      <c r="S160" s="8" t="n"/>
      <c r="T160" s="8" t="n"/>
      <c r="U160" s="17">
        <f>IF(O160&lt;&gt;"",159,"")</f>
        <v/>
      </c>
      <c r="V160" s="18">
        <f>IF(O160&lt;&gt;"",V159+O160,V159)</f>
        <v/>
      </c>
    </row>
    <row r="161">
      <c r="A161" s="19" t="n"/>
      <c r="B161" s="20" t="n"/>
      <c r="C161" s="19" t="n"/>
      <c r="D161" s="19" t="n"/>
      <c r="E161" s="19" t="n"/>
      <c r="F161" s="21" t="n"/>
      <c r="G161" s="21" t="n"/>
      <c r="H161" s="21" t="n"/>
      <c r="I161" s="22" t="n"/>
      <c r="J161" s="21">
        <f>IFERROR(IF(AND(F161&lt;&gt;"",G161&lt;&gt;"",I161&lt;&gt;""),ABS(F161-G161)*I161,""),"")</f>
        <v/>
      </c>
      <c r="K161" s="23">
        <f>IFERROR(IF(AND(F161&lt;&gt;"",G161&lt;&gt;"",H161&lt;&gt;""),ABS(H161-F161)/ABS(F161-G161),""),"")</f>
        <v/>
      </c>
      <c r="L161" s="20" t="n"/>
      <c r="M161" s="21" t="n"/>
      <c r="N161" s="21" t="n"/>
      <c r="O161" s="24">
        <f>IFERROR(IF(AND(M161&lt;&gt;"",F161&lt;&gt;"",I161&lt;&gt;""),IF(D161="Long",(M161-F161)*I161-IF(N161&lt;&gt;"",N161,0),IF(D161="Short",(F161-M161)*I161-IF(N161&lt;&gt;"",N161,0),"")),""),"")</f>
        <v/>
      </c>
      <c r="P161" s="25">
        <f>IFERROR(IF(AND(O161&lt;&gt;"",F161&lt;&gt;"",I161&lt;&gt;""),O161/(F161*I161),""),"")</f>
        <v/>
      </c>
      <c r="Q161" s="26">
        <f>IFERROR(IF(AND(O161&lt;&gt;"",J161&lt;&gt;"",J161&lt;&gt;0),O161/J161,""),"")</f>
        <v/>
      </c>
      <c r="R161" s="27">
        <f>IFERROR(IF(AND(L161&lt;&gt;"",B161&lt;&gt;""),L161-B161,""),"")</f>
        <v/>
      </c>
      <c r="S161" s="19" t="n"/>
      <c r="T161" s="19" t="n"/>
      <c r="U161" s="17">
        <f>IF(O161&lt;&gt;"",160,"")</f>
        <v/>
      </c>
      <c r="V161" s="18">
        <f>IF(O161&lt;&gt;"",V160+O161,V160)</f>
        <v/>
      </c>
    </row>
    <row r="162">
      <c r="A162" s="8" t="n"/>
      <c r="B162" s="9" t="n"/>
      <c r="C162" s="8" t="n"/>
      <c r="D162" s="8" t="n"/>
      <c r="E162" s="8" t="n"/>
      <c r="F162" s="10" t="n"/>
      <c r="G162" s="10" t="n"/>
      <c r="H162" s="10" t="n"/>
      <c r="I162" s="11" t="n"/>
      <c r="J162" s="10">
        <f>IFERROR(IF(AND(F162&lt;&gt;"",G162&lt;&gt;"",I162&lt;&gt;""),ABS(F162-G162)*I162,""),"")</f>
        <v/>
      </c>
      <c r="K162" s="12">
        <f>IFERROR(IF(AND(F162&lt;&gt;"",G162&lt;&gt;"",H162&lt;&gt;""),ABS(H162-F162)/ABS(F162-G162),""),"")</f>
        <v/>
      </c>
      <c r="L162" s="9" t="n"/>
      <c r="M162" s="10" t="n"/>
      <c r="N162" s="10" t="n"/>
      <c r="O162" s="13">
        <f>IFERROR(IF(AND(M162&lt;&gt;"",F162&lt;&gt;"",I162&lt;&gt;""),IF(D162="Long",(M162-F162)*I162-IF(N162&lt;&gt;"",N162,0),IF(D162="Short",(F162-M162)*I162-IF(N162&lt;&gt;"",N162,0),"")),""),"")</f>
        <v/>
      </c>
      <c r="P162" s="14">
        <f>IFERROR(IF(AND(O162&lt;&gt;"",F162&lt;&gt;"",I162&lt;&gt;""),O162/(F162*I162),""),"")</f>
        <v/>
      </c>
      <c r="Q162" s="15">
        <f>IFERROR(IF(AND(O162&lt;&gt;"",J162&lt;&gt;"",J162&lt;&gt;0),O162/J162,""),"")</f>
        <v/>
      </c>
      <c r="R162" s="16">
        <f>IFERROR(IF(AND(L162&lt;&gt;"",B162&lt;&gt;""),L162-B162,""),"")</f>
        <v/>
      </c>
      <c r="S162" s="8" t="n"/>
      <c r="T162" s="8" t="n"/>
      <c r="U162" s="17">
        <f>IF(O162&lt;&gt;"",161,"")</f>
        <v/>
      </c>
      <c r="V162" s="18">
        <f>IF(O162&lt;&gt;"",V161+O162,V161)</f>
        <v/>
      </c>
    </row>
    <row r="163">
      <c r="A163" s="19" t="n"/>
      <c r="B163" s="20" t="n"/>
      <c r="C163" s="19" t="n"/>
      <c r="D163" s="19" t="n"/>
      <c r="E163" s="19" t="n"/>
      <c r="F163" s="21" t="n"/>
      <c r="G163" s="21" t="n"/>
      <c r="H163" s="21" t="n"/>
      <c r="I163" s="22" t="n"/>
      <c r="J163" s="21">
        <f>IFERROR(IF(AND(F163&lt;&gt;"",G163&lt;&gt;"",I163&lt;&gt;""),ABS(F163-G163)*I163,""),"")</f>
        <v/>
      </c>
      <c r="K163" s="23">
        <f>IFERROR(IF(AND(F163&lt;&gt;"",G163&lt;&gt;"",H163&lt;&gt;""),ABS(H163-F163)/ABS(F163-G163),""),"")</f>
        <v/>
      </c>
      <c r="L163" s="20" t="n"/>
      <c r="M163" s="21" t="n"/>
      <c r="N163" s="21" t="n"/>
      <c r="O163" s="24">
        <f>IFERROR(IF(AND(M163&lt;&gt;"",F163&lt;&gt;"",I163&lt;&gt;""),IF(D163="Long",(M163-F163)*I163-IF(N163&lt;&gt;"",N163,0),IF(D163="Short",(F163-M163)*I163-IF(N163&lt;&gt;"",N163,0),"")),""),"")</f>
        <v/>
      </c>
      <c r="P163" s="25">
        <f>IFERROR(IF(AND(O163&lt;&gt;"",F163&lt;&gt;"",I163&lt;&gt;""),O163/(F163*I163),""),"")</f>
        <v/>
      </c>
      <c r="Q163" s="26">
        <f>IFERROR(IF(AND(O163&lt;&gt;"",J163&lt;&gt;"",J163&lt;&gt;0),O163/J163,""),"")</f>
        <v/>
      </c>
      <c r="R163" s="27">
        <f>IFERROR(IF(AND(L163&lt;&gt;"",B163&lt;&gt;""),L163-B163,""),"")</f>
        <v/>
      </c>
      <c r="S163" s="19" t="n"/>
      <c r="T163" s="19" t="n"/>
      <c r="U163" s="17">
        <f>IF(O163&lt;&gt;"",162,"")</f>
        <v/>
      </c>
      <c r="V163" s="18">
        <f>IF(O163&lt;&gt;"",V162+O163,V162)</f>
        <v/>
      </c>
    </row>
    <row r="164">
      <c r="A164" s="8" t="n"/>
      <c r="B164" s="9" t="n"/>
      <c r="C164" s="8" t="n"/>
      <c r="D164" s="8" t="n"/>
      <c r="E164" s="8" t="n"/>
      <c r="F164" s="10" t="n"/>
      <c r="G164" s="10" t="n"/>
      <c r="H164" s="10" t="n"/>
      <c r="I164" s="11" t="n"/>
      <c r="J164" s="10">
        <f>IFERROR(IF(AND(F164&lt;&gt;"",G164&lt;&gt;"",I164&lt;&gt;""),ABS(F164-G164)*I164,""),"")</f>
        <v/>
      </c>
      <c r="K164" s="12">
        <f>IFERROR(IF(AND(F164&lt;&gt;"",G164&lt;&gt;"",H164&lt;&gt;""),ABS(H164-F164)/ABS(F164-G164),""),"")</f>
        <v/>
      </c>
      <c r="L164" s="9" t="n"/>
      <c r="M164" s="10" t="n"/>
      <c r="N164" s="10" t="n"/>
      <c r="O164" s="13">
        <f>IFERROR(IF(AND(M164&lt;&gt;"",F164&lt;&gt;"",I164&lt;&gt;""),IF(D164="Long",(M164-F164)*I164-IF(N164&lt;&gt;"",N164,0),IF(D164="Short",(F164-M164)*I164-IF(N164&lt;&gt;"",N164,0),"")),""),"")</f>
        <v/>
      </c>
      <c r="P164" s="14">
        <f>IFERROR(IF(AND(O164&lt;&gt;"",F164&lt;&gt;"",I164&lt;&gt;""),O164/(F164*I164),""),"")</f>
        <v/>
      </c>
      <c r="Q164" s="15">
        <f>IFERROR(IF(AND(O164&lt;&gt;"",J164&lt;&gt;"",J164&lt;&gt;0),O164/J164,""),"")</f>
        <v/>
      </c>
      <c r="R164" s="16">
        <f>IFERROR(IF(AND(L164&lt;&gt;"",B164&lt;&gt;""),L164-B164,""),"")</f>
        <v/>
      </c>
      <c r="S164" s="8" t="n"/>
      <c r="T164" s="8" t="n"/>
      <c r="U164" s="17">
        <f>IF(O164&lt;&gt;"",163,"")</f>
        <v/>
      </c>
      <c r="V164" s="18">
        <f>IF(O164&lt;&gt;"",V163+O164,V163)</f>
        <v/>
      </c>
    </row>
    <row r="165">
      <c r="A165" s="19" t="n"/>
      <c r="B165" s="20" t="n"/>
      <c r="C165" s="19" t="n"/>
      <c r="D165" s="19" t="n"/>
      <c r="E165" s="19" t="n"/>
      <c r="F165" s="21" t="n"/>
      <c r="G165" s="21" t="n"/>
      <c r="H165" s="21" t="n"/>
      <c r="I165" s="22" t="n"/>
      <c r="J165" s="21">
        <f>IFERROR(IF(AND(F165&lt;&gt;"",G165&lt;&gt;"",I165&lt;&gt;""),ABS(F165-G165)*I165,""),"")</f>
        <v/>
      </c>
      <c r="K165" s="23">
        <f>IFERROR(IF(AND(F165&lt;&gt;"",G165&lt;&gt;"",H165&lt;&gt;""),ABS(H165-F165)/ABS(F165-G165),""),"")</f>
        <v/>
      </c>
      <c r="L165" s="20" t="n"/>
      <c r="M165" s="21" t="n"/>
      <c r="N165" s="21" t="n"/>
      <c r="O165" s="24">
        <f>IFERROR(IF(AND(M165&lt;&gt;"",F165&lt;&gt;"",I165&lt;&gt;""),IF(D165="Long",(M165-F165)*I165-IF(N165&lt;&gt;"",N165,0),IF(D165="Short",(F165-M165)*I165-IF(N165&lt;&gt;"",N165,0),"")),""),"")</f>
        <v/>
      </c>
      <c r="P165" s="25">
        <f>IFERROR(IF(AND(O165&lt;&gt;"",F165&lt;&gt;"",I165&lt;&gt;""),O165/(F165*I165),""),"")</f>
        <v/>
      </c>
      <c r="Q165" s="26">
        <f>IFERROR(IF(AND(O165&lt;&gt;"",J165&lt;&gt;"",J165&lt;&gt;0),O165/J165,""),"")</f>
        <v/>
      </c>
      <c r="R165" s="27">
        <f>IFERROR(IF(AND(L165&lt;&gt;"",B165&lt;&gt;""),L165-B165,""),"")</f>
        <v/>
      </c>
      <c r="S165" s="19" t="n"/>
      <c r="T165" s="19" t="n"/>
      <c r="U165" s="17">
        <f>IF(O165&lt;&gt;"",164,"")</f>
        <v/>
      </c>
      <c r="V165" s="18">
        <f>IF(O165&lt;&gt;"",V164+O165,V164)</f>
        <v/>
      </c>
    </row>
    <row r="166">
      <c r="A166" s="8" t="n"/>
      <c r="B166" s="9" t="n"/>
      <c r="C166" s="8" t="n"/>
      <c r="D166" s="8" t="n"/>
      <c r="E166" s="8" t="n"/>
      <c r="F166" s="10" t="n"/>
      <c r="G166" s="10" t="n"/>
      <c r="H166" s="10" t="n"/>
      <c r="I166" s="11" t="n"/>
      <c r="J166" s="10">
        <f>IFERROR(IF(AND(F166&lt;&gt;"",G166&lt;&gt;"",I166&lt;&gt;""),ABS(F166-G166)*I166,""),"")</f>
        <v/>
      </c>
      <c r="K166" s="12">
        <f>IFERROR(IF(AND(F166&lt;&gt;"",G166&lt;&gt;"",H166&lt;&gt;""),ABS(H166-F166)/ABS(F166-G166),""),"")</f>
        <v/>
      </c>
      <c r="L166" s="9" t="n"/>
      <c r="M166" s="10" t="n"/>
      <c r="N166" s="10" t="n"/>
      <c r="O166" s="13">
        <f>IFERROR(IF(AND(M166&lt;&gt;"",F166&lt;&gt;"",I166&lt;&gt;""),IF(D166="Long",(M166-F166)*I166-IF(N166&lt;&gt;"",N166,0),IF(D166="Short",(F166-M166)*I166-IF(N166&lt;&gt;"",N166,0),"")),""),"")</f>
        <v/>
      </c>
      <c r="P166" s="14">
        <f>IFERROR(IF(AND(O166&lt;&gt;"",F166&lt;&gt;"",I166&lt;&gt;""),O166/(F166*I166),""),"")</f>
        <v/>
      </c>
      <c r="Q166" s="15">
        <f>IFERROR(IF(AND(O166&lt;&gt;"",J166&lt;&gt;"",J166&lt;&gt;0),O166/J166,""),"")</f>
        <v/>
      </c>
      <c r="R166" s="16">
        <f>IFERROR(IF(AND(L166&lt;&gt;"",B166&lt;&gt;""),L166-B166,""),"")</f>
        <v/>
      </c>
      <c r="S166" s="8" t="n"/>
      <c r="T166" s="8" t="n"/>
      <c r="U166" s="17">
        <f>IF(O166&lt;&gt;"",165,"")</f>
        <v/>
      </c>
      <c r="V166" s="18">
        <f>IF(O166&lt;&gt;"",V165+O166,V165)</f>
        <v/>
      </c>
    </row>
    <row r="167">
      <c r="A167" s="19" t="n"/>
      <c r="B167" s="20" t="n"/>
      <c r="C167" s="19" t="n"/>
      <c r="D167" s="19" t="n"/>
      <c r="E167" s="19" t="n"/>
      <c r="F167" s="21" t="n"/>
      <c r="G167" s="21" t="n"/>
      <c r="H167" s="21" t="n"/>
      <c r="I167" s="22" t="n"/>
      <c r="J167" s="21">
        <f>IFERROR(IF(AND(F167&lt;&gt;"",G167&lt;&gt;"",I167&lt;&gt;""),ABS(F167-G167)*I167,""),"")</f>
        <v/>
      </c>
      <c r="K167" s="23">
        <f>IFERROR(IF(AND(F167&lt;&gt;"",G167&lt;&gt;"",H167&lt;&gt;""),ABS(H167-F167)/ABS(F167-G167),""),"")</f>
        <v/>
      </c>
      <c r="L167" s="20" t="n"/>
      <c r="M167" s="21" t="n"/>
      <c r="N167" s="21" t="n"/>
      <c r="O167" s="24">
        <f>IFERROR(IF(AND(M167&lt;&gt;"",F167&lt;&gt;"",I167&lt;&gt;""),IF(D167="Long",(M167-F167)*I167-IF(N167&lt;&gt;"",N167,0),IF(D167="Short",(F167-M167)*I167-IF(N167&lt;&gt;"",N167,0),"")),""),"")</f>
        <v/>
      </c>
      <c r="P167" s="25">
        <f>IFERROR(IF(AND(O167&lt;&gt;"",F167&lt;&gt;"",I167&lt;&gt;""),O167/(F167*I167),""),"")</f>
        <v/>
      </c>
      <c r="Q167" s="26">
        <f>IFERROR(IF(AND(O167&lt;&gt;"",J167&lt;&gt;"",J167&lt;&gt;0),O167/J167,""),"")</f>
        <v/>
      </c>
      <c r="R167" s="27">
        <f>IFERROR(IF(AND(L167&lt;&gt;"",B167&lt;&gt;""),L167-B167,""),"")</f>
        <v/>
      </c>
      <c r="S167" s="19" t="n"/>
      <c r="T167" s="19" t="n"/>
      <c r="U167" s="17">
        <f>IF(O167&lt;&gt;"",166,"")</f>
        <v/>
      </c>
      <c r="V167" s="18">
        <f>IF(O167&lt;&gt;"",V166+O167,V166)</f>
        <v/>
      </c>
    </row>
    <row r="168">
      <c r="A168" s="8" t="n"/>
      <c r="B168" s="9" t="n"/>
      <c r="C168" s="8" t="n"/>
      <c r="D168" s="8" t="n"/>
      <c r="E168" s="8" t="n"/>
      <c r="F168" s="10" t="n"/>
      <c r="G168" s="10" t="n"/>
      <c r="H168" s="10" t="n"/>
      <c r="I168" s="11" t="n"/>
      <c r="J168" s="10">
        <f>IFERROR(IF(AND(F168&lt;&gt;"",G168&lt;&gt;"",I168&lt;&gt;""),ABS(F168-G168)*I168,""),"")</f>
        <v/>
      </c>
      <c r="K168" s="12">
        <f>IFERROR(IF(AND(F168&lt;&gt;"",G168&lt;&gt;"",H168&lt;&gt;""),ABS(H168-F168)/ABS(F168-G168),""),"")</f>
        <v/>
      </c>
      <c r="L168" s="9" t="n"/>
      <c r="M168" s="10" t="n"/>
      <c r="N168" s="10" t="n"/>
      <c r="O168" s="13">
        <f>IFERROR(IF(AND(M168&lt;&gt;"",F168&lt;&gt;"",I168&lt;&gt;""),IF(D168="Long",(M168-F168)*I168-IF(N168&lt;&gt;"",N168,0),IF(D168="Short",(F168-M168)*I168-IF(N168&lt;&gt;"",N168,0),"")),""),"")</f>
        <v/>
      </c>
      <c r="P168" s="14">
        <f>IFERROR(IF(AND(O168&lt;&gt;"",F168&lt;&gt;"",I168&lt;&gt;""),O168/(F168*I168),""),"")</f>
        <v/>
      </c>
      <c r="Q168" s="15">
        <f>IFERROR(IF(AND(O168&lt;&gt;"",J168&lt;&gt;"",J168&lt;&gt;0),O168/J168,""),"")</f>
        <v/>
      </c>
      <c r="R168" s="16">
        <f>IFERROR(IF(AND(L168&lt;&gt;"",B168&lt;&gt;""),L168-B168,""),"")</f>
        <v/>
      </c>
      <c r="S168" s="8" t="n"/>
      <c r="T168" s="8" t="n"/>
      <c r="U168" s="17">
        <f>IF(O168&lt;&gt;"",167,"")</f>
        <v/>
      </c>
      <c r="V168" s="18">
        <f>IF(O168&lt;&gt;"",V167+O168,V167)</f>
        <v/>
      </c>
    </row>
    <row r="169">
      <c r="A169" s="19" t="n"/>
      <c r="B169" s="20" t="n"/>
      <c r="C169" s="19" t="n"/>
      <c r="D169" s="19" t="n"/>
      <c r="E169" s="19" t="n"/>
      <c r="F169" s="21" t="n"/>
      <c r="G169" s="21" t="n"/>
      <c r="H169" s="21" t="n"/>
      <c r="I169" s="22" t="n"/>
      <c r="J169" s="21">
        <f>IFERROR(IF(AND(F169&lt;&gt;"",G169&lt;&gt;"",I169&lt;&gt;""),ABS(F169-G169)*I169,""),"")</f>
        <v/>
      </c>
      <c r="K169" s="23">
        <f>IFERROR(IF(AND(F169&lt;&gt;"",G169&lt;&gt;"",H169&lt;&gt;""),ABS(H169-F169)/ABS(F169-G169),""),"")</f>
        <v/>
      </c>
      <c r="L169" s="20" t="n"/>
      <c r="M169" s="21" t="n"/>
      <c r="N169" s="21" t="n"/>
      <c r="O169" s="24">
        <f>IFERROR(IF(AND(M169&lt;&gt;"",F169&lt;&gt;"",I169&lt;&gt;""),IF(D169="Long",(M169-F169)*I169-IF(N169&lt;&gt;"",N169,0),IF(D169="Short",(F169-M169)*I169-IF(N169&lt;&gt;"",N169,0),"")),""),"")</f>
        <v/>
      </c>
      <c r="P169" s="25">
        <f>IFERROR(IF(AND(O169&lt;&gt;"",F169&lt;&gt;"",I169&lt;&gt;""),O169/(F169*I169),""),"")</f>
        <v/>
      </c>
      <c r="Q169" s="26">
        <f>IFERROR(IF(AND(O169&lt;&gt;"",J169&lt;&gt;"",J169&lt;&gt;0),O169/J169,""),"")</f>
        <v/>
      </c>
      <c r="R169" s="27">
        <f>IFERROR(IF(AND(L169&lt;&gt;"",B169&lt;&gt;""),L169-B169,""),"")</f>
        <v/>
      </c>
      <c r="S169" s="19" t="n"/>
      <c r="T169" s="19" t="n"/>
      <c r="U169" s="17">
        <f>IF(O169&lt;&gt;"",168,"")</f>
        <v/>
      </c>
      <c r="V169" s="18">
        <f>IF(O169&lt;&gt;"",V168+O169,V168)</f>
        <v/>
      </c>
    </row>
    <row r="170">
      <c r="A170" s="8" t="n"/>
      <c r="B170" s="9" t="n"/>
      <c r="C170" s="8" t="n"/>
      <c r="D170" s="8" t="n"/>
      <c r="E170" s="8" t="n"/>
      <c r="F170" s="10" t="n"/>
      <c r="G170" s="10" t="n"/>
      <c r="H170" s="10" t="n"/>
      <c r="I170" s="11" t="n"/>
      <c r="J170" s="10">
        <f>IFERROR(IF(AND(F170&lt;&gt;"",G170&lt;&gt;"",I170&lt;&gt;""),ABS(F170-G170)*I170,""),"")</f>
        <v/>
      </c>
      <c r="K170" s="12">
        <f>IFERROR(IF(AND(F170&lt;&gt;"",G170&lt;&gt;"",H170&lt;&gt;""),ABS(H170-F170)/ABS(F170-G170),""),"")</f>
        <v/>
      </c>
      <c r="L170" s="9" t="n"/>
      <c r="M170" s="10" t="n"/>
      <c r="N170" s="10" t="n"/>
      <c r="O170" s="13">
        <f>IFERROR(IF(AND(M170&lt;&gt;"",F170&lt;&gt;"",I170&lt;&gt;""),IF(D170="Long",(M170-F170)*I170-IF(N170&lt;&gt;"",N170,0),IF(D170="Short",(F170-M170)*I170-IF(N170&lt;&gt;"",N170,0),"")),""),"")</f>
        <v/>
      </c>
      <c r="P170" s="14">
        <f>IFERROR(IF(AND(O170&lt;&gt;"",F170&lt;&gt;"",I170&lt;&gt;""),O170/(F170*I170),""),"")</f>
        <v/>
      </c>
      <c r="Q170" s="15">
        <f>IFERROR(IF(AND(O170&lt;&gt;"",J170&lt;&gt;"",J170&lt;&gt;0),O170/J170,""),"")</f>
        <v/>
      </c>
      <c r="R170" s="16">
        <f>IFERROR(IF(AND(L170&lt;&gt;"",B170&lt;&gt;""),L170-B170,""),"")</f>
        <v/>
      </c>
      <c r="S170" s="8" t="n"/>
      <c r="T170" s="8" t="n"/>
      <c r="U170" s="17">
        <f>IF(O170&lt;&gt;"",169,"")</f>
        <v/>
      </c>
      <c r="V170" s="18">
        <f>IF(O170&lt;&gt;"",V169+O170,V169)</f>
        <v/>
      </c>
    </row>
    <row r="171">
      <c r="A171" s="19" t="n"/>
      <c r="B171" s="20" t="n"/>
      <c r="C171" s="19" t="n"/>
      <c r="D171" s="19" t="n"/>
      <c r="E171" s="19" t="n"/>
      <c r="F171" s="21" t="n"/>
      <c r="G171" s="21" t="n"/>
      <c r="H171" s="21" t="n"/>
      <c r="I171" s="22" t="n"/>
      <c r="J171" s="21">
        <f>IFERROR(IF(AND(F171&lt;&gt;"",G171&lt;&gt;"",I171&lt;&gt;""),ABS(F171-G171)*I171,""),"")</f>
        <v/>
      </c>
      <c r="K171" s="23">
        <f>IFERROR(IF(AND(F171&lt;&gt;"",G171&lt;&gt;"",H171&lt;&gt;""),ABS(H171-F171)/ABS(F171-G171),""),"")</f>
        <v/>
      </c>
      <c r="L171" s="20" t="n"/>
      <c r="M171" s="21" t="n"/>
      <c r="N171" s="21" t="n"/>
      <c r="O171" s="24">
        <f>IFERROR(IF(AND(M171&lt;&gt;"",F171&lt;&gt;"",I171&lt;&gt;""),IF(D171="Long",(M171-F171)*I171-IF(N171&lt;&gt;"",N171,0),IF(D171="Short",(F171-M171)*I171-IF(N171&lt;&gt;"",N171,0),"")),""),"")</f>
        <v/>
      </c>
      <c r="P171" s="25">
        <f>IFERROR(IF(AND(O171&lt;&gt;"",F171&lt;&gt;"",I171&lt;&gt;""),O171/(F171*I171),""),"")</f>
        <v/>
      </c>
      <c r="Q171" s="26">
        <f>IFERROR(IF(AND(O171&lt;&gt;"",J171&lt;&gt;"",J171&lt;&gt;0),O171/J171,""),"")</f>
        <v/>
      </c>
      <c r="R171" s="27">
        <f>IFERROR(IF(AND(L171&lt;&gt;"",B171&lt;&gt;""),L171-B171,""),"")</f>
        <v/>
      </c>
      <c r="S171" s="19" t="n"/>
      <c r="T171" s="19" t="n"/>
      <c r="U171" s="17">
        <f>IF(O171&lt;&gt;"",170,"")</f>
        <v/>
      </c>
      <c r="V171" s="18">
        <f>IF(O171&lt;&gt;"",V170+O171,V170)</f>
        <v/>
      </c>
    </row>
    <row r="172">
      <c r="A172" s="8" t="n"/>
      <c r="B172" s="9" t="n"/>
      <c r="C172" s="8" t="n"/>
      <c r="D172" s="8" t="n"/>
      <c r="E172" s="8" t="n"/>
      <c r="F172" s="10" t="n"/>
      <c r="G172" s="10" t="n"/>
      <c r="H172" s="10" t="n"/>
      <c r="I172" s="11" t="n"/>
      <c r="J172" s="10">
        <f>IFERROR(IF(AND(F172&lt;&gt;"",G172&lt;&gt;"",I172&lt;&gt;""),ABS(F172-G172)*I172,""),"")</f>
        <v/>
      </c>
      <c r="K172" s="12">
        <f>IFERROR(IF(AND(F172&lt;&gt;"",G172&lt;&gt;"",H172&lt;&gt;""),ABS(H172-F172)/ABS(F172-G172),""),"")</f>
        <v/>
      </c>
      <c r="L172" s="9" t="n"/>
      <c r="M172" s="10" t="n"/>
      <c r="N172" s="10" t="n"/>
      <c r="O172" s="13">
        <f>IFERROR(IF(AND(M172&lt;&gt;"",F172&lt;&gt;"",I172&lt;&gt;""),IF(D172="Long",(M172-F172)*I172-IF(N172&lt;&gt;"",N172,0),IF(D172="Short",(F172-M172)*I172-IF(N172&lt;&gt;"",N172,0),"")),""),"")</f>
        <v/>
      </c>
      <c r="P172" s="14">
        <f>IFERROR(IF(AND(O172&lt;&gt;"",F172&lt;&gt;"",I172&lt;&gt;""),O172/(F172*I172),""),"")</f>
        <v/>
      </c>
      <c r="Q172" s="15">
        <f>IFERROR(IF(AND(O172&lt;&gt;"",J172&lt;&gt;"",J172&lt;&gt;0),O172/J172,""),"")</f>
        <v/>
      </c>
      <c r="R172" s="16">
        <f>IFERROR(IF(AND(L172&lt;&gt;"",B172&lt;&gt;""),L172-B172,""),"")</f>
        <v/>
      </c>
      <c r="S172" s="8" t="n"/>
      <c r="T172" s="8" t="n"/>
      <c r="U172" s="17">
        <f>IF(O172&lt;&gt;"",171,"")</f>
        <v/>
      </c>
      <c r="V172" s="18">
        <f>IF(O172&lt;&gt;"",V171+O172,V171)</f>
        <v/>
      </c>
    </row>
    <row r="173">
      <c r="A173" s="19" t="n"/>
      <c r="B173" s="20" t="n"/>
      <c r="C173" s="19" t="n"/>
      <c r="D173" s="19" t="n"/>
      <c r="E173" s="19" t="n"/>
      <c r="F173" s="21" t="n"/>
      <c r="G173" s="21" t="n"/>
      <c r="H173" s="21" t="n"/>
      <c r="I173" s="22" t="n"/>
      <c r="J173" s="21">
        <f>IFERROR(IF(AND(F173&lt;&gt;"",G173&lt;&gt;"",I173&lt;&gt;""),ABS(F173-G173)*I173,""),"")</f>
        <v/>
      </c>
      <c r="K173" s="23">
        <f>IFERROR(IF(AND(F173&lt;&gt;"",G173&lt;&gt;"",H173&lt;&gt;""),ABS(H173-F173)/ABS(F173-G173),""),"")</f>
        <v/>
      </c>
      <c r="L173" s="20" t="n"/>
      <c r="M173" s="21" t="n"/>
      <c r="N173" s="21" t="n"/>
      <c r="O173" s="24">
        <f>IFERROR(IF(AND(M173&lt;&gt;"",F173&lt;&gt;"",I173&lt;&gt;""),IF(D173="Long",(M173-F173)*I173-IF(N173&lt;&gt;"",N173,0),IF(D173="Short",(F173-M173)*I173-IF(N173&lt;&gt;"",N173,0),"")),""),"")</f>
        <v/>
      </c>
      <c r="P173" s="25">
        <f>IFERROR(IF(AND(O173&lt;&gt;"",F173&lt;&gt;"",I173&lt;&gt;""),O173/(F173*I173),""),"")</f>
        <v/>
      </c>
      <c r="Q173" s="26">
        <f>IFERROR(IF(AND(O173&lt;&gt;"",J173&lt;&gt;"",J173&lt;&gt;0),O173/J173,""),"")</f>
        <v/>
      </c>
      <c r="R173" s="27">
        <f>IFERROR(IF(AND(L173&lt;&gt;"",B173&lt;&gt;""),L173-B173,""),"")</f>
        <v/>
      </c>
      <c r="S173" s="19" t="n"/>
      <c r="T173" s="19" t="n"/>
      <c r="U173" s="17">
        <f>IF(O173&lt;&gt;"",172,"")</f>
        <v/>
      </c>
      <c r="V173" s="18">
        <f>IF(O173&lt;&gt;"",V172+O173,V172)</f>
        <v/>
      </c>
    </row>
    <row r="174">
      <c r="A174" s="8" t="n"/>
      <c r="B174" s="9" t="n"/>
      <c r="C174" s="8" t="n"/>
      <c r="D174" s="8" t="n"/>
      <c r="E174" s="8" t="n"/>
      <c r="F174" s="10" t="n"/>
      <c r="G174" s="10" t="n"/>
      <c r="H174" s="10" t="n"/>
      <c r="I174" s="11" t="n"/>
      <c r="J174" s="10">
        <f>IFERROR(IF(AND(F174&lt;&gt;"",G174&lt;&gt;"",I174&lt;&gt;""),ABS(F174-G174)*I174,""),"")</f>
        <v/>
      </c>
      <c r="K174" s="12">
        <f>IFERROR(IF(AND(F174&lt;&gt;"",G174&lt;&gt;"",H174&lt;&gt;""),ABS(H174-F174)/ABS(F174-G174),""),"")</f>
        <v/>
      </c>
      <c r="L174" s="9" t="n"/>
      <c r="M174" s="10" t="n"/>
      <c r="N174" s="10" t="n"/>
      <c r="O174" s="13">
        <f>IFERROR(IF(AND(M174&lt;&gt;"",F174&lt;&gt;"",I174&lt;&gt;""),IF(D174="Long",(M174-F174)*I174-IF(N174&lt;&gt;"",N174,0),IF(D174="Short",(F174-M174)*I174-IF(N174&lt;&gt;"",N174,0),"")),""),"")</f>
        <v/>
      </c>
      <c r="P174" s="14">
        <f>IFERROR(IF(AND(O174&lt;&gt;"",F174&lt;&gt;"",I174&lt;&gt;""),O174/(F174*I174),""),"")</f>
        <v/>
      </c>
      <c r="Q174" s="15">
        <f>IFERROR(IF(AND(O174&lt;&gt;"",J174&lt;&gt;"",J174&lt;&gt;0),O174/J174,""),"")</f>
        <v/>
      </c>
      <c r="R174" s="16">
        <f>IFERROR(IF(AND(L174&lt;&gt;"",B174&lt;&gt;""),L174-B174,""),"")</f>
        <v/>
      </c>
      <c r="S174" s="8" t="n"/>
      <c r="T174" s="8" t="n"/>
      <c r="U174" s="17">
        <f>IF(O174&lt;&gt;"",173,"")</f>
        <v/>
      </c>
      <c r="V174" s="18">
        <f>IF(O174&lt;&gt;"",V173+O174,V173)</f>
        <v/>
      </c>
    </row>
    <row r="175">
      <c r="A175" s="19" t="n"/>
      <c r="B175" s="20" t="n"/>
      <c r="C175" s="19" t="n"/>
      <c r="D175" s="19" t="n"/>
      <c r="E175" s="19" t="n"/>
      <c r="F175" s="21" t="n"/>
      <c r="G175" s="21" t="n"/>
      <c r="H175" s="21" t="n"/>
      <c r="I175" s="22" t="n"/>
      <c r="J175" s="21">
        <f>IFERROR(IF(AND(F175&lt;&gt;"",G175&lt;&gt;"",I175&lt;&gt;""),ABS(F175-G175)*I175,""),"")</f>
        <v/>
      </c>
      <c r="K175" s="23">
        <f>IFERROR(IF(AND(F175&lt;&gt;"",G175&lt;&gt;"",H175&lt;&gt;""),ABS(H175-F175)/ABS(F175-G175),""),"")</f>
        <v/>
      </c>
      <c r="L175" s="20" t="n"/>
      <c r="M175" s="21" t="n"/>
      <c r="N175" s="21" t="n"/>
      <c r="O175" s="24">
        <f>IFERROR(IF(AND(M175&lt;&gt;"",F175&lt;&gt;"",I175&lt;&gt;""),IF(D175="Long",(M175-F175)*I175-IF(N175&lt;&gt;"",N175,0),IF(D175="Short",(F175-M175)*I175-IF(N175&lt;&gt;"",N175,0),"")),""),"")</f>
        <v/>
      </c>
      <c r="P175" s="25">
        <f>IFERROR(IF(AND(O175&lt;&gt;"",F175&lt;&gt;"",I175&lt;&gt;""),O175/(F175*I175),""),"")</f>
        <v/>
      </c>
      <c r="Q175" s="26">
        <f>IFERROR(IF(AND(O175&lt;&gt;"",J175&lt;&gt;"",J175&lt;&gt;0),O175/J175,""),"")</f>
        <v/>
      </c>
      <c r="R175" s="27">
        <f>IFERROR(IF(AND(L175&lt;&gt;"",B175&lt;&gt;""),L175-B175,""),"")</f>
        <v/>
      </c>
      <c r="S175" s="19" t="n"/>
      <c r="T175" s="19" t="n"/>
      <c r="U175" s="17">
        <f>IF(O175&lt;&gt;"",174,"")</f>
        <v/>
      </c>
      <c r="V175" s="18">
        <f>IF(O175&lt;&gt;"",V174+O175,V174)</f>
        <v/>
      </c>
    </row>
    <row r="176">
      <c r="A176" s="8" t="n"/>
      <c r="B176" s="9" t="n"/>
      <c r="C176" s="8" t="n"/>
      <c r="D176" s="8" t="n"/>
      <c r="E176" s="8" t="n"/>
      <c r="F176" s="10" t="n"/>
      <c r="G176" s="10" t="n"/>
      <c r="H176" s="10" t="n"/>
      <c r="I176" s="11" t="n"/>
      <c r="J176" s="10">
        <f>IFERROR(IF(AND(F176&lt;&gt;"",G176&lt;&gt;"",I176&lt;&gt;""),ABS(F176-G176)*I176,""),"")</f>
        <v/>
      </c>
      <c r="K176" s="12">
        <f>IFERROR(IF(AND(F176&lt;&gt;"",G176&lt;&gt;"",H176&lt;&gt;""),ABS(H176-F176)/ABS(F176-G176),""),"")</f>
        <v/>
      </c>
      <c r="L176" s="9" t="n"/>
      <c r="M176" s="10" t="n"/>
      <c r="N176" s="10" t="n"/>
      <c r="O176" s="13">
        <f>IFERROR(IF(AND(M176&lt;&gt;"",F176&lt;&gt;"",I176&lt;&gt;""),IF(D176="Long",(M176-F176)*I176-IF(N176&lt;&gt;"",N176,0),IF(D176="Short",(F176-M176)*I176-IF(N176&lt;&gt;"",N176,0),"")),""),"")</f>
        <v/>
      </c>
      <c r="P176" s="14">
        <f>IFERROR(IF(AND(O176&lt;&gt;"",F176&lt;&gt;"",I176&lt;&gt;""),O176/(F176*I176),""),"")</f>
        <v/>
      </c>
      <c r="Q176" s="15">
        <f>IFERROR(IF(AND(O176&lt;&gt;"",J176&lt;&gt;"",J176&lt;&gt;0),O176/J176,""),"")</f>
        <v/>
      </c>
      <c r="R176" s="16">
        <f>IFERROR(IF(AND(L176&lt;&gt;"",B176&lt;&gt;""),L176-B176,""),"")</f>
        <v/>
      </c>
      <c r="S176" s="8" t="n"/>
      <c r="T176" s="8" t="n"/>
      <c r="U176" s="17">
        <f>IF(O176&lt;&gt;"",175,"")</f>
        <v/>
      </c>
      <c r="V176" s="18">
        <f>IF(O176&lt;&gt;"",V175+O176,V175)</f>
        <v/>
      </c>
    </row>
    <row r="177">
      <c r="A177" s="19" t="n"/>
      <c r="B177" s="20" t="n"/>
      <c r="C177" s="19" t="n"/>
      <c r="D177" s="19" t="n"/>
      <c r="E177" s="19" t="n"/>
      <c r="F177" s="21" t="n"/>
      <c r="G177" s="21" t="n"/>
      <c r="H177" s="21" t="n"/>
      <c r="I177" s="22" t="n"/>
      <c r="J177" s="21">
        <f>IFERROR(IF(AND(F177&lt;&gt;"",G177&lt;&gt;"",I177&lt;&gt;""),ABS(F177-G177)*I177,""),"")</f>
        <v/>
      </c>
      <c r="K177" s="23">
        <f>IFERROR(IF(AND(F177&lt;&gt;"",G177&lt;&gt;"",H177&lt;&gt;""),ABS(H177-F177)/ABS(F177-G177),""),"")</f>
        <v/>
      </c>
      <c r="L177" s="20" t="n"/>
      <c r="M177" s="21" t="n"/>
      <c r="N177" s="21" t="n"/>
      <c r="O177" s="24">
        <f>IFERROR(IF(AND(M177&lt;&gt;"",F177&lt;&gt;"",I177&lt;&gt;""),IF(D177="Long",(M177-F177)*I177-IF(N177&lt;&gt;"",N177,0),IF(D177="Short",(F177-M177)*I177-IF(N177&lt;&gt;"",N177,0),"")),""),"")</f>
        <v/>
      </c>
      <c r="P177" s="25">
        <f>IFERROR(IF(AND(O177&lt;&gt;"",F177&lt;&gt;"",I177&lt;&gt;""),O177/(F177*I177),""),"")</f>
        <v/>
      </c>
      <c r="Q177" s="26">
        <f>IFERROR(IF(AND(O177&lt;&gt;"",J177&lt;&gt;"",J177&lt;&gt;0),O177/J177,""),"")</f>
        <v/>
      </c>
      <c r="R177" s="27">
        <f>IFERROR(IF(AND(L177&lt;&gt;"",B177&lt;&gt;""),L177-B177,""),"")</f>
        <v/>
      </c>
      <c r="S177" s="19" t="n"/>
      <c r="T177" s="19" t="n"/>
      <c r="U177" s="17">
        <f>IF(O177&lt;&gt;"",176,"")</f>
        <v/>
      </c>
      <c r="V177" s="18">
        <f>IF(O177&lt;&gt;"",V176+O177,V176)</f>
        <v/>
      </c>
    </row>
    <row r="178">
      <c r="A178" s="8" t="n"/>
      <c r="B178" s="9" t="n"/>
      <c r="C178" s="8" t="n"/>
      <c r="D178" s="8" t="n"/>
      <c r="E178" s="8" t="n"/>
      <c r="F178" s="10" t="n"/>
      <c r="G178" s="10" t="n"/>
      <c r="H178" s="10" t="n"/>
      <c r="I178" s="11" t="n"/>
      <c r="J178" s="10">
        <f>IFERROR(IF(AND(F178&lt;&gt;"",G178&lt;&gt;"",I178&lt;&gt;""),ABS(F178-G178)*I178,""),"")</f>
        <v/>
      </c>
      <c r="K178" s="12">
        <f>IFERROR(IF(AND(F178&lt;&gt;"",G178&lt;&gt;"",H178&lt;&gt;""),ABS(H178-F178)/ABS(F178-G178),""),"")</f>
        <v/>
      </c>
      <c r="L178" s="9" t="n"/>
      <c r="M178" s="10" t="n"/>
      <c r="N178" s="10" t="n"/>
      <c r="O178" s="13">
        <f>IFERROR(IF(AND(M178&lt;&gt;"",F178&lt;&gt;"",I178&lt;&gt;""),IF(D178="Long",(M178-F178)*I178-IF(N178&lt;&gt;"",N178,0),IF(D178="Short",(F178-M178)*I178-IF(N178&lt;&gt;"",N178,0),"")),""),"")</f>
        <v/>
      </c>
      <c r="P178" s="14">
        <f>IFERROR(IF(AND(O178&lt;&gt;"",F178&lt;&gt;"",I178&lt;&gt;""),O178/(F178*I178),""),"")</f>
        <v/>
      </c>
      <c r="Q178" s="15">
        <f>IFERROR(IF(AND(O178&lt;&gt;"",J178&lt;&gt;"",J178&lt;&gt;0),O178/J178,""),"")</f>
        <v/>
      </c>
      <c r="R178" s="16">
        <f>IFERROR(IF(AND(L178&lt;&gt;"",B178&lt;&gt;""),L178-B178,""),"")</f>
        <v/>
      </c>
      <c r="S178" s="8" t="n"/>
      <c r="T178" s="8" t="n"/>
      <c r="U178" s="17">
        <f>IF(O178&lt;&gt;"",177,"")</f>
        <v/>
      </c>
      <c r="V178" s="18">
        <f>IF(O178&lt;&gt;"",V177+O178,V177)</f>
        <v/>
      </c>
    </row>
    <row r="179">
      <c r="A179" s="19" t="n"/>
      <c r="B179" s="20" t="n"/>
      <c r="C179" s="19" t="n"/>
      <c r="D179" s="19" t="n"/>
      <c r="E179" s="19" t="n"/>
      <c r="F179" s="21" t="n"/>
      <c r="G179" s="21" t="n"/>
      <c r="H179" s="21" t="n"/>
      <c r="I179" s="22" t="n"/>
      <c r="J179" s="21">
        <f>IFERROR(IF(AND(F179&lt;&gt;"",G179&lt;&gt;"",I179&lt;&gt;""),ABS(F179-G179)*I179,""),"")</f>
        <v/>
      </c>
      <c r="K179" s="23">
        <f>IFERROR(IF(AND(F179&lt;&gt;"",G179&lt;&gt;"",H179&lt;&gt;""),ABS(H179-F179)/ABS(F179-G179),""),"")</f>
        <v/>
      </c>
      <c r="L179" s="20" t="n"/>
      <c r="M179" s="21" t="n"/>
      <c r="N179" s="21" t="n"/>
      <c r="O179" s="24">
        <f>IFERROR(IF(AND(M179&lt;&gt;"",F179&lt;&gt;"",I179&lt;&gt;""),IF(D179="Long",(M179-F179)*I179-IF(N179&lt;&gt;"",N179,0),IF(D179="Short",(F179-M179)*I179-IF(N179&lt;&gt;"",N179,0),"")),""),"")</f>
        <v/>
      </c>
      <c r="P179" s="25">
        <f>IFERROR(IF(AND(O179&lt;&gt;"",F179&lt;&gt;"",I179&lt;&gt;""),O179/(F179*I179),""),"")</f>
        <v/>
      </c>
      <c r="Q179" s="26">
        <f>IFERROR(IF(AND(O179&lt;&gt;"",J179&lt;&gt;"",J179&lt;&gt;0),O179/J179,""),"")</f>
        <v/>
      </c>
      <c r="R179" s="27">
        <f>IFERROR(IF(AND(L179&lt;&gt;"",B179&lt;&gt;""),L179-B179,""),"")</f>
        <v/>
      </c>
      <c r="S179" s="19" t="n"/>
      <c r="T179" s="19" t="n"/>
      <c r="U179" s="17">
        <f>IF(O179&lt;&gt;"",178,"")</f>
        <v/>
      </c>
      <c r="V179" s="18">
        <f>IF(O179&lt;&gt;"",V178+O179,V178)</f>
        <v/>
      </c>
    </row>
    <row r="180">
      <c r="A180" s="8" t="n"/>
      <c r="B180" s="9" t="n"/>
      <c r="C180" s="8" t="n"/>
      <c r="D180" s="8" t="n"/>
      <c r="E180" s="8" t="n"/>
      <c r="F180" s="10" t="n"/>
      <c r="G180" s="10" t="n"/>
      <c r="H180" s="10" t="n"/>
      <c r="I180" s="11" t="n"/>
      <c r="J180" s="10">
        <f>IFERROR(IF(AND(F180&lt;&gt;"",G180&lt;&gt;"",I180&lt;&gt;""),ABS(F180-G180)*I180,""),"")</f>
        <v/>
      </c>
      <c r="K180" s="12">
        <f>IFERROR(IF(AND(F180&lt;&gt;"",G180&lt;&gt;"",H180&lt;&gt;""),ABS(H180-F180)/ABS(F180-G180),""),"")</f>
        <v/>
      </c>
      <c r="L180" s="9" t="n"/>
      <c r="M180" s="10" t="n"/>
      <c r="N180" s="10" t="n"/>
      <c r="O180" s="13">
        <f>IFERROR(IF(AND(M180&lt;&gt;"",F180&lt;&gt;"",I180&lt;&gt;""),IF(D180="Long",(M180-F180)*I180-IF(N180&lt;&gt;"",N180,0),IF(D180="Short",(F180-M180)*I180-IF(N180&lt;&gt;"",N180,0),"")),""),"")</f>
        <v/>
      </c>
      <c r="P180" s="14">
        <f>IFERROR(IF(AND(O180&lt;&gt;"",F180&lt;&gt;"",I180&lt;&gt;""),O180/(F180*I180),""),"")</f>
        <v/>
      </c>
      <c r="Q180" s="15">
        <f>IFERROR(IF(AND(O180&lt;&gt;"",J180&lt;&gt;"",J180&lt;&gt;0),O180/J180,""),"")</f>
        <v/>
      </c>
      <c r="R180" s="16">
        <f>IFERROR(IF(AND(L180&lt;&gt;"",B180&lt;&gt;""),L180-B180,""),"")</f>
        <v/>
      </c>
      <c r="S180" s="8" t="n"/>
      <c r="T180" s="8" t="n"/>
      <c r="U180" s="17">
        <f>IF(O180&lt;&gt;"",179,"")</f>
        <v/>
      </c>
      <c r="V180" s="18">
        <f>IF(O180&lt;&gt;"",V179+O180,V179)</f>
        <v/>
      </c>
    </row>
    <row r="181">
      <c r="A181" s="19" t="n"/>
      <c r="B181" s="20" t="n"/>
      <c r="C181" s="19" t="n"/>
      <c r="D181" s="19" t="n"/>
      <c r="E181" s="19" t="n"/>
      <c r="F181" s="21" t="n"/>
      <c r="G181" s="21" t="n"/>
      <c r="H181" s="21" t="n"/>
      <c r="I181" s="22" t="n"/>
      <c r="J181" s="21">
        <f>IFERROR(IF(AND(F181&lt;&gt;"",G181&lt;&gt;"",I181&lt;&gt;""),ABS(F181-G181)*I181,""),"")</f>
        <v/>
      </c>
      <c r="K181" s="23">
        <f>IFERROR(IF(AND(F181&lt;&gt;"",G181&lt;&gt;"",H181&lt;&gt;""),ABS(H181-F181)/ABS(F181-G181),""),"")</f>
        <v/>
      </c>
      <c r="L181" s="20" t="n"/>
      <c r="M181" s="21" t="n"/>
      <c r="N181" s="21" t="n"/>
      <c r="O181" s="24">
        <f>IFERROR(IF(AND(M181&lt;&gt;"",F181&lt;&gt;"",I181&lt;&gt;""),IF(D181="Long",(M181-F181)*I181-IF(N181&lt;&gt;"",N181,0),IF(D181="Short",(F181-M181)*I181-IF(N181&lt;&gt;"",N181,0),"")),""),"")</f>
        <v/>
      </c>
      <c r="P181" s="25">
        <f>IFERROR(IF(AND(O181&lt;&gt;"",F181&lt;&gt;"",I181&lt;&gt;""),O181/(F181*I181),""),"")</f>
        <v/>
      </c>
      <c r="Q181" s="26">
        <f>IFERROR(IF(AND(O181&lt;&gt;"",J181&lt;&gt;"",J181&lt;&gt;0),O181/J181,""),"")</f>
        <v/>
      </c>
      <c r="R181" s="27">
        <f>IFERROR(IF(AND(L181&lt;&gt;"",B181&lt;&gt;""),L181-B181,""),"")</f>
        <v/>
      </c>
      <c r="S181" s="19" t="n"/>
      <c r="T181" s="19" t="n"/>
      <c r="U181" s="17">
        <f>IF(O181&lt;&gt;"",180,"")</f>
        <v/>
      </c>
      <c r="V181" s="18">
        <f>IF(O181&lt;&gt;"",V180+O181,V180)</f>
        <v/>
      </c>
    </row>
    <row r="182">
      <c r="A182" s="8" t="n"/>
      <c r="B182" s="9" t="n"/>
      <c r="C182" s="8" t="n"/>
      <c r="D182" s="8" t="n"/>
      <c r="E182" s="8" t="n"/>
      <c r="F182" s="10" t="n"/>
      <c r="G182" s="10" t="n"/>
      <c r="H182" s="10" t="n"/>
      <c r="I182" s="11" t="n"/>
      <c r="J182" s="10">
        <f>IFERROR(IF(AND(F182&lt;&gt;"",G182&lt;&gt;"",I182&lt;&gt;""),ABS(F182-G182)*I182,""),"")</f>
        <v/>
      </c>
      <c r="K182" s="12">
        <f>IFERROR(IF(AND(F182&lt;&gt;"",G182&lt;&gt;"",H182&lt;&gt;""),ABS(H182-F182)/ABS(F182-G182),""),"")</f>
        <v/>
      </c>
      <c r="L182" s="9" t="n"/>
      <c r="M182" s="10" t="n"/>
      <c r="N182" s="10" t="n"/>
      <c r="O182" s="13">
        <f>IFERROR(IF(AND(M182&lt;&gt;"",F182&lt;&gt;"",I182&lt;&gt;""),IF(D182="Long",(M182-F182)*I182-IF(N182&lt;&gt;"",N182,0),IF(D182="Short",(F182-M182)*I182-IF(N182&lt;&gt;"",N182,0),"")),""),"")</f>
        <v/>
      </c>
      <c r="P182" s="14">
        <f>IFERROR(IF(AND(O182&lt;&gt;"",F182&lt;&gt;"",I182&lt;&gt;""),O182/(F182*I182),""),"")</f>
        <v/>
      </c>
      <c r="Q182" s="15">
        <f>IFERROR(IF(AND(O182&lt;&gt;"",J182&lt;&gt;"",J182&lt;&gt;0),O182/J182,""),"")</f>
        <v/>
      </c>
      <c r="R182" s="16">
        <f>IFERROR(IF(AND(L182&lt;&gt;"",B182&lt;&gt;""),L182-B182,""),"")</f>
        <v/>
      </c>
      <c r="S182" s="8" t="n"/>
      <c r="T182" s="8" t="n"/>
      <c r="U182" s="17">
        <f>IF(O182&lt;&gt;"",181,"")</f>
        <v/>
      </c>
      <c r="V182" s="18">
        <f>IF(O182&lt;&gt;"",V181+O182,V181)</f>
        <v/>
      </c>
    </row>
    <row r="183">
      <c r="A183" s="19" t="n"/>
      <c r="B183" s="20" t="n"/>
      <c r="C183" s="19" t="n"/>
      <c r="D183" s="19" t="n"/>
      <c r="E183" s="19" t="n"/>
      <c r="F183" s="21" t="n"/>
      <c r="G183" s="21" t="n"/>
      <c r="H183" s="21" t="n"/>
      <c r="I183" s="22" t="n"/>
      <c r="J183" s="21">
        <f>IFERROR(IF(AND(F183&lt;&gt;"",G183&lt;&gt;"",I183&lt;&gt;""),ABS(F183-G183)*I183,""),"")</f>
        <v/>
      </c>
      <c r="K183" s="23">
        <f>IFERROR(IF(AND(F183&lt;&gt;"",G183&lt;&gt;"",H183&lt;&gt;""),ABS(H183-F183)/ABS(F183-G183),""),"")</f>
        <v/>
      </c>
      <c r="L183" s="20" t="n"/>
      <c r="M183" s="21" t="n"/>
      <c r="N183" s="21" t="n"/>
      <c r="O183" s="24">
        <f>IFERROR(IF(AND(M183&lt;&gt;"",F183&lt;&gt;"",I183&lt;&gt;""),IF(D183="Long",(M183-F183)*I183-IF(N183&lt;&gt;"",N183,0),IF(D183="Short",(F183-M183)*I183-IF(N183&lt;&gt;"",N183,0),"")),""),"")</f>
        <v/>
      </c>
      <c r="P183" s="25">
        <f>IFERROR(IF(AND(O183&lt;&gt;"",F183&lt;&gt;"",I183&lt;&gt;""),O183/(F183*I183),""),"")</f>
        <v/>
      </c>
      <c r="Q183" s="26">
        <f>IFERROR(IF(AND(O183&lt;&gt;"",J183&lt;&gt;"",J183&lt;&gt;0),O183/J183,""),"")</f>
        <v/>
      </c>
      <c r="R183" s="27">
        <f>IFERROR(IF(AND(L183&lt;&gt;"",B183&lt;&gt;""),L183-B183,""),"")</f>
        <v/>
      </c>
      <c r="S183" s="19" t="n"/>
      <c r="T183" s="19" t="n"/>
      <c r="U183" s="17">
        <f>IF(O183&lt;&gt;"",182,"")</f>
        <v/>
      </c>
      <c r="V183" s="18">
        <f>IF(O183&lt;&gt;"",V182+O183,V182)</f>
        <v/>
      </c>
    </row>
    <row r="184">
      <c r="A184" s="8" t="n"/>
      <c r="B184" s="9" t="n"/>
      <c r="C184" s="8" t="n"/>
      <c r="D184" s="8" t="n"/>
      <c r="E184" s="8" t="n"/>
      <c r="F184" s="10" t="n"/>
      <c r="G184" s="10" t="n"/>
      <c r="H184" s="10" t="n"/>
      <c r="I184" s="11" t="n"/>
      <c r="J184" s="10">
        <f>IFERROR(IF(AND(F184&lt;&gt;"",G184&lt;&gt;"",I184&lt;&gt;""),ABS(F184-G184)*I184,""),"")</f>
        <v/>
      </c>
      <c r="K184" s="12">
        <f>IFERROR(IF(AND(F184&lt;&gt;"",G184&lt;&gt;"",H184&lt;&gt;""),ABS(H184-F184)/ABS(F184-G184),""),"")</f>
        <v/>
      </c>
      <c r="L184" s="9" t="n"/>
      <c r="M184" s="10" t="n"/>
      <c r="N184" s="10" t="n"/>
      <c r="O184" s="13">
        <f>IFERROR(IF(AND(M184&lt;&gt;"",F184&lt;&gt;"",I184&lt;&gt;""),IF(D184="Long",(M184-F184)*I184-IF(N184&lt;&gt;"",N184,0),IF(D184="Short",(F184-M184)*I184-IF(N184&lt;&gt;"",N184,0),"")),""),"")</f>
        <v/>
      </c>
      <c r="P184" s="14">
        <f>IFERROR(IF(AND(O184&lt;&gt;"",F184&lt;&gt;"",I184&lt;&gt;""),O184/(F184*I184),""),"")</f>
        <v/>
      </c>
      <c r="Q184" s="15">
        <f>IFERROR(IF(AND(O184&lt;&gt;"",J184&lt;&gt;"",J184&lt;&gt;0),O184/J184,""),"")</f>
        <v/>
      </c>
      <c r="R184" s="16">
        <f>IFERROR(IF(AND(L184&lt;&gt;"",B184&lt;&gt;""),L184-B184,""),"")</f>
        <v/>
      </c>
      <c r="S184" s="8" t="n"/>
      <c r="T184" s="8" t="n"/>
      <c r="U184" s="17">
        <f>IF(O184&lt;&gt;"",183,"")</f>
        <v/>
      </c>
      <c r="V184" s="18">
        <f>IF(O184&lt;&gt;"",V183+O184,V183)</f>
        <v/>
      </c>
    </row>
    <row r="185">
      <c r="A185" s="19" t="n"/>
      <c r="B185" s="20" t="n"/>
      <c r="C185" s="19" t="n"/>
      <c r="D185" s="19" t="n"/>
      <c r="E185" s="19" t="n"/>
      <c r="F185" s="21" t="n"/>
      <c r="G185" s="21" t="n"/>
      <c r="H185" s="21" t="n"/>
      <c r="I185" s="22" t="n"/>
      <c r="J185" s="21">
        <f>IFERROR(IF(AND(F185&lt;&gt;"",G185&lt;&gt;"",I185&lt;&gt;""),ABS(F185-G185)*I185,""),"")</f>
        <v/>
      </c>
      <c r="K185" s="23">
        <f>IFERROR(IF(AND(F185&lt;&gt;"",G185&lt;&gt;"",H185&lt;&gt;""),ABS(H185-F185)/ABS(F185-G185),""),"")</f>
        <v/>
      </c>
      <c r="L185" s="20" t="n"/>
      <c r="M185" s="21" t="n"/>
      <c r="N185" s="21" t="n"/>
      <c r="O185" s="24">
        <f>IFERROR(IF(AND(M185&lt;&gt;"",F185&lt;&gt;"",I185&lt;&gt;""),IF(D185="Long",(M185-F185)*I185-IF(N185&lt;&gt;"",N185,0),IF(D185="Short",(F185-M185)*I185-IF(N185&lt;&gt;"",N185,0),"")),""),"")</f>
        <v/>
      </c>
      <c r="P185" s="25">
        <f>IFERROR(IF(AND(O185&lt;&gt;"",F185&lt;&gt;"",I185&lt;&gt;""),O185/(F185*I185),""),"")</f>
        <v/>
      </c>
      <c r="Q185" s="26">
        <f>IFERROR(IF(AND(O185&lt;&gt;"",J185&lt;&gt;"",J185&lt;&gt;0),O185/J185,""),"")</f>
        <v/>
      </c>
      <c r="R185" s="27">
        <f>IFERROR(IF(AND(L185&lt;&gt;"",B185&lt;&gt;""),L185-B185,""),"")</f>
        <v/>
      </c>
      <c r="S185" s="19" t="n"/>
      <c r="T185" s="19" t="n"/>
      <c r="U185" s="17">
        <f>IF(O185&lt;&gt;"",184,"")</f>
        <v/>
      </c>
      <c r="V185" s="18">
        <f>IF(O185&lt;&gt;"",V184+O185,V184)</f>
        <v/>
      </c>
    </row>
    <row r="186">
      <c r="A186" s="8" t="n"/>
      <c r="B186" s="9" t="n"/>
      <c r="C186" s="8" t="n"/>
      <c r="D186" s="8" t="n"/>
      <c r="E186" s="8" t="n"/>
      <c r="F186" s="10" t="n"/>
      <c r="G186" s="10" t="n"/>
      <c r="H186" s="10" t="n"/>
      <c r="I186" s="11" t="n"/>
      <c r="J186" s="10">
        <f>IFERROR(IF(AND(F186&lt;&gt;"",G186&lt;&gt;"",I186&lt;&gt;""),ABS(F186-G186)*I186,""),"")</f>
        <v/>
      </c>
      <c r="K186" s="12">
        <f>IFERROR(IF(AND(F186&lt;&gt;"",G186&lt;&gt;"",H186&lt;&gt;""),ABS(H186-F186)/ABS(F186-G186),""),"")</f>
        <v/>
      </c>
      <c r="L186" s="9" t="n"/>
      <c r="M186" s="10" t="n"/>
      <c r="N186" s="10" t="n"/>
      <c r="O186" s="13">
        <f>IFERROR(IF(AND(M186&lt;&gt;"",F186&lt;&gt;"",I186&lt;&gt;""),IF(D186="Long",(M186-F186)*I186-IF(N186&lt;&gt;"",N186,0),IF(D186="Short",(F186-M186)*I186-IF(N186&lt;&gt;"",N186,0),"")),""),"")</f>
        <v/>
      </c>
      <c r="P186" s="14">
        <f>IFERROR(IF(AND(O186&lt;&gt;"",F186&lt;&gt;"",I186&lt;&gt;""),O186/(F186*I186),""),"")</f>
        <v/>
      </c>
      <c r="Q186" s="15">
        <f>IFERROR(IF(AND(O186&lt;&gt;"",J186&lt;&gt;"",J186&lt;&gt;0),O186/J186,""),"")</f>
        <v/>
      </c>
      <c r="R186" s="16">
        <f>IFERROR(IF(AND(L186&lt;&gt;"",B186&lt;&gt;""),L186-B186,""),"")</f>
        <v/>
      </c>
      <c r="S186" s="8" t="n"/>
      <c r="T186" s="8" t="n"/>
      <c r="U186" s="17">
        <f>IF(O186&lt;&gt;"",185,"")</f>
        <v/>
      </c>
      <c r="V186" s="18">
        <f>IF(O186&lt;&gt;"",V185+O186,V185)</f>
        <v/>
      </c>
    </row>
    <row r="187">
      <c r="A187" s="19" t="n"/>
      <c r="B187" s="20" t="n"/>
      <c r="C187" s="19" t="n"/>
      <c r="D187" s="19" t="n"/>
      <c r="E187" s="19" t="n"/>
      <c r="F187" s="21" t="n"/>
      <c r="G187" s="21" t="n"/>
      <c r="H187" s="21" t="n"/>
      <c r="I187" s="22" t="n"/>
      <c r="J187" s="21">
        <f>IFERROR(IF(AND(F187&lt;&gt;"",G187&lt;&gt;"",I187&lt;&gt;""),ABS(F187-G187)*I187,""),"")</f>
        <v/>
      </c>
      <c r="K187" s="23">
        <f>IFERROR(IF(AND(F187&lt;&gt;"",G187&lt;&gt;"",H187&lt;&gt;""),ABS(H187-F187)/ABS(F187-G187),""),"")</f>
        <v/>
      </c>
      <c r="L187" s="20" t="n"/>
      <c r="M187" s="21" t="n"/>
      <c r="N187" s="21" t="n"/>
      <c r="O187" s="24">
        <f>IFERROR(IF(AND(M187&lt;&gt;"",F187&lt;&gt;"",I187&lt;&gt;""),IF(D187="Long",(M187-F187)*I187-IF(N187&lt;&gt;"",N187,0),IF(D187="Short",(F187-M187)*I187-IF(N187&lt;&gt;"",N187,0),"")),""),"")</f>
        <v/>
      </c>
      <c r="P187" s="25">
        <f>IFERROR(IF(AND(O187&lt;&gt;"",F187&lt;&gt;"",I187&lt;&gt;""),O187/(F187*I187),""),"")</f>
        <v/>
      </c>
      <c r="Q187" s="26">
        <f>IFERROR(IF(AND(O187&lt;&gt;"",J187&lt;&gt;"",J187&lt;&gt;0),O187/J187,""),"")</f>
        <v/>
      </c>
      <c r="R187" s="27">
        <f>IFERROR(IF(AND(L187&lt;&gt;"",B187&lt;&gt;""),L187-B187,""),"")</f>
        <v/>
      </c>
      <c r="S187" s="19" t="n"/>
      <c r="T187" s="19" t="n"/>
      <c r="U187" s="17">
        <f>IF(O187&lt;&gt;"",186,"")</f>
        <v/>
      </c>
      <c r="V187" s="18">
        <f>IF(O187&lt;&gt;"",V186+O187,V186)</f>
        <v/>
      </c>
    </row>
    <row r="188">
      <c r="A188" s="8" t="n"/>
      <c r="B188" s="9" t="n"/>
      <c r="C188" s="8" t="n"/>
      <c r="D188" s="8" t="n"/>
      <c r="E188" s="8" t="n"/>
      <c r="F188" s="10" t="n"/>
      <c r="G188" s="10" t="n"/>
      <c r="H188" s="10" t="n"/>
      <c r="I188" s="11" t="n"/>
      <c r="J188" s="10">
        <f>IFERROR(IF(AND(F188&lt;&gt;"",G188&lt;&gt;"",I188&lt;&gt;""),ABS(F188-G188)*I188,""),"")</f>
        <v/>
      </c>
      <c r="K188" s="12">
        <f>IFERROR(IF(AND(F188&lt;&gt;"",G188&lt;&gt;"",H188&lt;&gt;""),ABS(H188-F188)/ABS(F188-G188),""),"")</f>
        <v/>
      </c>
      <c r="L188" s="9" t="n"/>
      <c r="M188" s="10" t="n"/>
      <c r="N188" s="10" t="n"/>
      <c r="O188" s="13">
        <f>IFERROR(IF(AND(M188&lt;&gt;"",F188&lt;&gt;"",I188&lt;&gt;""),IF(D188="Long",(M188-F188)*I188-IF(N188&lt;&gt;"",N188,0),IF(D188="Short",(F188-M188)*I188-IF(N188&lt;&gt;"",N188,0),"")),""),"")</f>
        <v/>
      </c>
      <c r="P188" s="14">
        <f>IFERROR(IF(AND(O188&lt;&gt;"",F188&lt;&gt;"",I188&lt;&gt;""),O188/(F188*I188),""),"")</f>
        <v/>
      </c>
      <c r="Q188" s="15">
        <f>IFERROR(IF(AND(O188&lt;&gt;"",J188&lt;&gt;"",J188&lt;&gt;0),O188/J188,""),"")</f>
        <v/>
      </c>
      <c r="R188" s="16">
        <f>IFERROR(IF(AND(L188&lt;&gt;"",B188&lt;&gt;""),L188-B188,""),"")</f>
        <v/>
      </c>
      <c r="S188" s="8" t="n"/>
      <c r="T188" s="8" t="n"/>
      <c r="U188" s="17">
        <f>IF(O188&lt;&gt;"",187,"")</f>
        <v/>
      </c>
      <c r="V188" s="18">
        <f>IF(O188&lt;&gt;"",V187+O188,V187)</f>
        <v/>
      </c>
    </row>
    <row r="189">
      <c r="A189" s="19" t="n"/>
      <c r="B189" s="20" t="n"/>
      <c r="C189" s="19" t="n"/>
      <c r="D189" s="19" t="n"/>
      <c r="E189" s="19" t="n"/>
      <c r="F189" s="21" t="n"/>
      <c r="G189" s="21" t="n"/>
      <c r="H189" s="21" t="n"/>
      <c r="I189" s="22" t="n"/>
      <c r="J189" s="21">
        <f>IFERROR(IF(AND(F189&lt;&gt;"",G189&lt;&gt;"",I189&lt;&gt;""),ABS(F189-G189)*I189,""),"")</f>
        <v/>
      </c>
      <c r="K189" s="23">
        <f>IFERROR(IF(AND(F189&lt;&gt;"",G189&lt;&gt;"",H189&lt;&gt;""),ABS(H189-F189)/ABS(F189-G189),""),"")</f>
        <v/>
      </c>
      <c r="L189" s="20" t="n"/>
      <c r="M189" s="21" t="n"/>
      <c r="N189" s="21" t="n"/>
      <c r="O189" s="24">
        <f>IFERROR(IF(AND(M189&lt;&gt;"",F189&lt;&gt;"",I189&lt;&gt;""),IF(D189="Long",(M189-F189)*I189-IF(N189&lt;&gt;"",N189,0),IF(D189="Short",(F189-M189)*I189-IF(N189&lt;&gt;"",N189,0),"")),""),"")</f>
        <v/>
      </c>
      <c r="P189" s="25">
        <f>IFERROR(IF(AND(O189&lt;&gt;"",F189&lt;&gt;"",I189&lt;&gt;""),O189/(F189*I189),""),"")</f>
        <v/>
      </c>
      <c r="Q189" s="26">
        <f>IFERROR(IF(AND(O189&lt;&gt;"",J189&lt;&gt;"",J189&lt;&gt;0),O189/J189,""),"")</f>
        <v/>
      </c>
      <c r="R189" s="27">
        <f>IFERROR(IF(AND(L189&lt;&gt;"",B189&lt;&gt;""),L189-B189,""),"")</f>
        <v/>
      </c>
      <c r="S189" s="19" t="n"/>
      <c r="T189" s="19" t="n"/>
      <c r="U189" s="17">
        <f>IF(O189&lt;&gt;"",188,"")</f>
        <v/>
      </c>
      <c r="V189" s="18">
        <f>IF(O189&lt;&gt;"",V188+O189,V188)</f>
        <v/>
      </c>
    </row>
    <row r="190">
      <c r="A190" s="8" t="n"/>
      <c r="B190" s="9" t="n"/>
      <c r="C190" s="8" t="n"/>
      <c r="D190" s="8" t="n"/>
      <c r="E190" s="8" t="n"/>
      <c r="F190" s="10" t="n"/>
      <c r="G190" s="10" t="n"/>
      <c r="H190" s="10" t="n"/>
      <c r="I190" s="11" t="n"/>
      <c r="J190" s="10">
        <f>IFERROR(IF(AND(F190&lt;&gt;"",G190&lt;&gt;"",I190&lt;&gt;""),ABS(F190-G190)*I190,""),"")</f>
        <v/>
      </c>
      <c r="K190" s="12">
        <f>IFERROR(IF(AND(F190&lt;&gt;"",G190&lt;&gt;"",H190&lt;&gt;""),ABS(H190-F190)/ABS(F190-G190),""),"")</f>
        <v/>
      </c>
      <c r="L190" s="9" t="n"/>
      <c r="M190" s="10" t="n"/>
      <c r="N190" s="10" t="n"/>
      <c r="O190" s="13">
        <f>IFERROR(IF(AND(M190&lt;&gt;"",F190&lt;&gt;"",I190&lt;&gt;""),IF(D190="Long",(M190-F190)*I190-IF(N190&lt;&gt;"",N190,0),IF(D190="Short",(F190-M190)*I190-IF(N190&lt;&gt;"",N190,0),"")),""),"")</f>
        <v/>
      </c>
      <c r="P190" s="14">
        <f>IFERROR(IF(AND(O190&lt;&gt;"",F190&lt;&gt;"",I190&lt;&gt;""),O190/(F190*I190),""),"")</f>
        <v/>
      </c>
      <c r="Q190" s="15">
        <f>IFERROR(IF(AND(O190&lt;&gt;"",J190&lt;&gt;"",J190&lt;&gt;0),O190/J190,""),"")</f>
        <v/>
      </c>
      <c r="R190" s="16">
        <f>IFERROR(IF(AND(L190&lt;&gt;"",B190&lt;&gt;""),L190-B190,""),"")</f>
        <v/>
      </c>
      <c r="S190" s="8" t="n"/>
      <c r="T190" s="8" t="n"/>
      <c r="U190" s="17">
        <f>IF(O190&lt;&gt;"",189,"")</f>
        <v/>
      </c>
      <c r="V190" s="18">
        <f>IF(O190&lt;&gt;"",V189+O190,V189)</f>
        <v/>
      </c>
    </row>
    <row r="191">
      <c r="A191" s="19" t="n"/>
      <c r="B191" s="20" t="n"/>
      <c r="C191" s="19" t="n"/>
      <c r="D191" s="19" t="n"/>
      <c r="E191" s="19" t="n"/>
      <c r="F191" s="21" t="n"/>
      <c r="G191" s="21" t="n"/>
      <c r="H191" s="21" t="n"/>
      <c r="I191" s="22" t="n"/>
      <c r="J191" s="21">
        <f>IFERROR(IF(AND(F191&lt;&gt;"",G191&lt;&gt;"",I191&lt;&gt;""),ABS(F191-G191)*I191,""),"")</f>
        <v/>
      </c>
      <c r="K191" s="23">
        <f>IFERROR(IF(AND(F191&lt;&gt;"",G191&lt;&gt;"",H191&lt;&gt;""),ABS(H191-F191)/ABS(F191-G191),""),"")</f>
        <v/>
      </c>
      <c r="L191" s="20" t="n"/>
      <c r="M191" s="21" t="n"/>
      <c r="N191" s="21" t="n"/>
      <c r="O191" s="24">
        <f>IFERROR(IF(AND(M191&lt;&gt;"",F191&lt;&gt;"",I191&lt;&gt;""),IF(D191="Long",(M191-F191)*I191-IF(N191&lt;&gt;"",N191,0),IF(D191="Short",(F191-M191)*I191-IF(N191&lt;&gt;"",N191,0),"")),""),"")</f>
        <v/>
      </c>
      <c r="P191" s="25">
        <f>IFERROR(IF(AND(O191&lt;&gt;"",F191&lt;&gt;"",I191&lt;&gt;""),O191/(F191*I191),""),"")</f>
        <v/>
      </c>
      <c r="Q191" s="26">
        <f>IFERROR(IF(AND(O191&lt;&gt;"",J191&lt;&gt;"",J191&lt;&gt;0),O191/J191,""),"")</f>
        <v/>
      </c>
      <c r="R191" s="27">
        <f>IFERROR(IF(AND(L191&lt;&gt;"",B191&lt;&gt;""),L191-B191,""),"")</f>
        <v/>
      </c>
      <c r="S191" s="19" t="n"/>
      <c r="T191" s="19" t="n"/>
      <c r="U191" s="17">
        <f>IF(O191&lt;&gt;"",190,"")</f>
        <v/>
      </c>
      <c r="V191" s="18">
        <f>IF(O191&lt;&gt;"",V190+O191,V190)</f>
        <v/>
      </c>
    </row>
    <row r="192">
      <c r="A192" s="8" t="n"/>
      <c r="B192" s="9" t="n"/>
      <c r="C192" s="8" t="n"/>
      <c r="D192" s="8" t="n"/>
      <c r="E192" s="8" t="n"/>
      <c r="F192" s="10" t="n"/>
      <c r="G192" s="10" t="n"/>
      <c r="H192" s="10" t="n"/>
      <c r="I192" s="11" t="n"/>
      <c r="J192" s="10">
        <f>IFERROR(IF(AND(F192&lt;&gt;"",G192&lt;&gt;"",I192&lt;&gt;""),ABS(F192-G192)*I192,""),"")</f>
        <v/>
      </c>
      <c r="K192" s="12">
        <f>IFERROR(IF(AND(F192&lt;&gt;"",G192&lt;&gt;"",H192&lt;&gt;""),ABS(H192-F192)/ABS(F192-G192),""),"")</f>
        <v/>
      </c>
      <c r="L192" s="9" t="n"/>
      <c r="M192" s="10" t="n"/>
      <c r="N192" s="10" t="n"/>
      <c r="O192" s="13">
        <f>IFERROR(IF(AND(M192&lt;&gt;"",F192&lt;&gt;"",I192&lt;&gt;""),IF(D192="Long",(M192-F192)*I192-IF(N192&lt;&gt;"",N192,0),IF(D192="Short",(F192-M192)*I192-IF(N192&lt;&gt;"",N192,0),"")),""),"")</f>
        <v/>
      </c>
      <c r="P192" s="14">
        <f>IFERROR(IF(AND(O192&lt;&gt;"",F192&lt;&gt;"",I192&lt;&gt;""),O192/(F192*I192),""),"")</f>
        <v/>
      </c>
      <c r="Q192" s="15">
        <f>IFERROR(IF(AND(O192&lt;&gt;"",J192&lt;&gt;"",J192&lt;&gt;0),O192/J192,""),"")</f>
        <v/>
      </c>
      <c r="R192" s="16">
        <f>IFERROR(IF(AND(L192&lt;&gt;"",B192&lt;&gt;""),L192-B192,""),"")</f>
        <v/>
      </c>
      <c r="S192" s="8" t="n"/>
      <c r="T192" s="8" t="n"/>
      <c r="U192" s="17">
        <f>IF(O192&lt;&gt;"",191,"")</f>
        <v/>
      </c>
      <c r="V192" s="18">
        <f>IF(O192&lt;&gt;"",V191+O192,V191)</f>
        <v/>
      </c>
    </row>
    <row r="193">
      <c r="A193" s="19" t="n"/>
      <c r="B193" s="20" t="n"/>
      <c r="C193" s="19" t="n"/>
      <c r="D193" s="19" t="n"/>
      <c r="E193" s="19" t="n"/>
      <c r="F193" s="21" t="n"/>
      <c r="G193" s="21" t="n"/>
      <c r="H193" s="21" t="n"/>
      <c r="I193" s="22" t="n"/>
      <c r="J193" s="21">
        <f>IFERROR(IF(AND(F193&lt;&gt;"",G193&lt;&gt;"",I193&lt;&gt;""),ABS(F193-G193)*I193,""),"")</f>
        <v/>
      </c>
      <c r="K193" s="23">
        <f>IFERROR(IF(AND(F193&lt;&gt;"",G193&lt;&gt;"",H193&lt;&gt;""),ABS(H193-F193)/ABS(F193-G193),""),"")</f>
        <v/>
      </c>
      <c r="L193" s="20" t="n"/>
      <c r="M193" s="21" t="n"/>
      <c r="N193" s="21" t="n"/>
      <c r="O193" s="24">
        <f>IFERROR(IF(AND(M193&lt;&gt;"",F193&lt;&gt;"",I193&lt;&gt;""),IF(D193="Long",(M193-F193)*I193-IF(N193&lt;&gt;"",N193,0),IF(D193="Short",(F193-M193)*I193-IF(N193&lt;&gt;"",N193,0),"")),""),"")</f>
        <v/>
      </c>
      <c r="P193" s="25">
        <f>IFERROR(IF(AND(O193&lt;&gt;"",F193&lt;&gt;"",I193&lt;&gt;""),O193/(F193*I193),""),"")</f>
        <v/>
      </c>
      <c r="Q193" s="26">
        <f>IFERROR(IF(AND(O193&lt;&gt;"",J193&lt;&gt;"",J193&lt;&gt;0),O193/J193,""),"")</f>
        <v/>
      </c>
      <c r="R193" s="27">
        <f>IFERROR(IF(AND(L193&lt;&gt;"",B193&lt;&gt;""),L193-B193,""),"")</f>
        <v/>
      </c>
      <c r="S193" s="19" t="n"/>
      <c r="T193" s="19" t="n"/>
      <c r="U193" s="17">
        <f>IF(O193&lt;&gt;"",192,"")</f>
        <v/>
      </c>
      <c r="V193" s="18">
        <f>IF(O193&lt;&gt;"",V192+O193,V192)</f>
        <v/>
      </c>
    </row>
    <row r="194">
      <c r="A194" s="8" t="n"/>
      <c r="B194" s="9" t="n"/>
      <c r="C194" s="8" t="n"/>
      <c r="D194" s="8" t="n"/>
      <c r="E194" s="8" t="n"/>
      <c r="F194" s="10" t="n"/>
      <c r="G194" s="10" t="n"/>
      <c r="H194" s="10" t="n"/>
      <c r="I194" s="11" t="n"/>
      <c r="J194" s="10">
        <f>IFERROR(IF(AND(F194&lt;&gt;"",G194&lt;&gt;"",I194&lt;&gt;""),ABS(F194-G194)*I194,""),"")</f>
        <v/>
      </c>
      <c r="K194" s="12">
        <f>IFERROR(IF(AND(F194&lt;&gt;"",G194&lt;&gt;"",H194&lt;&gt;""),ABS(H194-F194)/ABS(F194-G194),""),"")</f>
        <v/>
      </c>
      <c r="L194" s="9" t="n"/>
      <c r="M194" s="10" t="n"/>
      <c r="N194" s="10" t="n"/>
      <c r="O194" s="13">
        <f>IFERROR(IF(AND(M194&lt;&gt;"",F194&lt;&gt;"",I194&lt;&gt;""),IF(D194="Long",(M194-F194)*I194-IF(N194&lt;&gt;"",N194,0),IF(D194="Short",(F194-M194)*I194-IF(N194&lt;&gt;"",N194,0),"")),""),"")</f>
        <v/>
      </c>
      <c r="P194" s="14">
        <f>IFERROR(IF(AND(O194&lt;&gt;"",F194&lt;&gt;"",I194&lt;&gt;""),O194/(F194*I194),""),"")</f>
        <v/>
      </c>
      <c r="Q194" s="15">
        <f>IFERROR(IF(AND(O194&lt;&gt;"",J194&lt;&gt;"",J194&lt;&gt;0),O194/J194,""),"")</f>
        <v/>
      </c>
      <c r="R194" s="16">
        <f>IFERROR(IF(AND(L194&lt;&gt;"",B194&lt;&gt;""),L194-B194,""),"")</f>
        <v/>
      </c>
      <c r="S194" s="8" t="n"/>
      <c r="T194" s="8" t="n"/>
      <c r="U194" s="17">
        <f>IF(O194&lt;&gt;"",193,"")</f>
        <v/>
      </c>
      <c r="V194" s="18">
        <f>IF(O194&lt;&gt;"",V193+O194,V193)</f>
        <v/>
      </c>
    </row>
    <row r="195">
      <c r="A195" s="19" t="n"/>
      <c r="B195" s="20" t="n"/>
      <c r="C195" s="19" t="n"/>
      <c r="D195" s="19" t="n"/>
      <c r="E195" s="19" t="n"/>
      <c r="F195" s="21" t="n"/>
      <c r="G195" s="21" t="n"/>
      <c r="H195" s="21" t="n"/>
      <c r="I195" s="22" t="n"/>
      <c r="J195" s="21">
        <f>IFERROR(IF(AND(F195&lt;&gt;"",G195&lt;&gt;"",I195&lt;&gt;""),ABS(F195-G195)*I195,""),"")</f>
        <v/>
      </c>
      <c r="K195" s="23">
        <f>IFERROR(IF(AND(F195&lt;&gt;"",G195&lt;&gt;"",H195&lt;&gt;""),ABS(H195-F195)/ABS(F195-G195),""),"")</f>
        <v/>
      </c>
      <c r="L195" s="20" t="n"/>
      <c r="M195" s="21" t="n"/>
      <c r="N195" s="21" t="n"/>
      <c r="O195" s="24">
        <f>IFERROR(IF(AND(M195&lt;&gt;"",F195&lt;&gt;"",I195&lt;&gt;""),IF(D195="Long",(M195-F195)*I195-IF(N195&lt;&gt;"",N195,0),IF(D195="Short",(F195-M195)*I195-IF(N195&lt;&gt;"",N195,0),"")),""),"")</f>
        <v/>
      </c>
      <c r="P195" s="25">
        <f>IFERROR(IF(AND(O195&lt;&gt;"",F195&lt;&gt;"",I195&lt;&gt;""),O195/(F195*I195),""),"")</f>
        <v/>
      </c>
      <c r="Q195" s="26">
        <f>IFERROR(IF(AND(O195&lt;&gt;"",J195&lt;&gt;"",J195&lt;&gt;0),O195/J195,""),"")</f>
        <v/>
      </c>
      <c r="R195" s="27">
        <f>IFERROR(IF(AND(L195&lt;&gt;"",B195&lt;&gt;""),L195-B195,""),"")</f>
        <v/>
      </c>
      <c r="S195" s="19" t="n"/>
      <c r="T195" s="19" t="n"/>
      <c r="U195" s="17">
        <f>IF(O195&lt;&gt;"",194,"")</f>
        <v/>
      </c>
      <c r="V195" s="18">
        <f>IF(O195&lt;&gt;"",V194+O195,V194)</f>
        <v/>
      </c>
    </row>
    <row r="196">
      <c r="A196" s="8" t="n"/>
      <c r="B196" s="9" t="n"/>
      <c r="C196" s="8" t="n"/>
      <c r="D196" s="8" t="n"/>
      <c r="E196" s="8" t="n"/>
      <c r="F196" s="10" t="n"/>
      <c r="G196" s="10" t="n"/>
      <c r="H196" s="10" t="n"/>
      <c r="I196" s="11" t="n"/>
      <c r="J196" s="10">
        <f>IFERROR(IF(AND(F196&lt;&gt;"",G196&lt;&gt;"",I196&lt;&gt;""),ABS(F196-G196)*I196,""),"")</f>
        <v/>
      </c>
      <c r="K196" s="12">
        <f>IFERROR(IF(AND(F196&lt;&gt;"",G196&lt;&gt;"",H196&lt;&gt;""),ABS(H196-F196)/ABS(F196-G196),""),"")</f>
        <v/>
      </c>
      <c r="L196" s="9" t="n"/>
      <c r="M196" s="10" t="n"/>
      <c r="N196" s="10" t="n"/>
      <c r="O196" s="13">
        <f>IFERROR(IF(AND(M196&lt;&gt;"",F196&lt;&gt;"",I196&lt;&gt;""),IF(D196="Long",(M196-F196)*I196-IF(N196&lt;&gt;"",N196,0),IF(D196="Short",(F196-M196)*I196-IF(N196&lt;&gt;"",N196,0),"")),""),"")</f>
        <v/>
      </c>
      <c r="P196" s="14">
        <f>IFERROR(IF(AND(O196&lt;&gt;"",F196&lt;&gt;"",I196&lt;&gt;""),O196/(F196*I196),""),"")</f>
        <v/>
      </c>
      <c r="Q196" s="15">
        <f>IFERROR(IF(AND(O196&lt;&gt;"",J196&lt;&gt;"",J196&lt;&gt;0),O196/J196,""),"")</f>
        <v/>
      </c>
      <c r="R196" s="16">
        <f>IFERROR(IF(AND(L196&lt;&gt;"",B196&lt;&gt;""),L196-B196,""),"")</f>
        <v/>
      </c>
      <c r="S196" s="8" t="n"/>
      <c r="T196" s="8" t="n"/>
      <c r="U196" s="17">
        <f>IF(O196&lt;&gt;"",195,"")</f>
        <v/>
      </c>
      <c r="V196" s="18">
        <f>IF(O196&lt;&gt;"",V195+O196,V195)</f>
        <v/>
      </c>
    </row>
    <row r="197">
      <c r="A197" s="19" t="n"/>
      <c r="B197" s="20" t="n"/>
      <c r="C197" s="19" t="n"/>
      <c r="D197" s="19" t="n"/>
      <c r="E197" s="19" t="n"/>
      <c r="F197" s="21" t="n"/>
      <c r="G197" s="21" t="n"/>
      <c r="H197" s="21" t="n"/>
      <c r="I197" s="22" t="n"/>
      <c r="J197" s="21">
        <f>IFERROR(IF(AND(F197&lt;&gt;"",G197&lt;&gt;"",I197&lt;&gt;""),ABS(F197-G197)*I197,""),"")</f>
        <v/>
      </c>
      <c r="K197" s="23">
        <f>IFERROR(IF(AND(F197&lt;&gt;"",G197&lt;&gt;"",H197&lt;&gt;""),ABS(H197-F197)/ABS(F197-G197),""),"")</f>
        <v/>
      </c>
      <c r="L197" s="20" t="n"/>
      <c r="M197" s="21" t="n"/>
      <c r="N197" s="21" t="n"/>
      <c r="O197" s="24">
        <f>IFERROR(IF(AND(M197&lt;&gt;"",F197&lt;&gt;"",I197&lt;&gt;""),IF(D197="Long",(M197-F197)*I197-IF(N197&lt;&gt;"",N197,0),IF(D197="Short",(F197-M197)*I197-IF(N197&lt;&gt;"",N197,0),"")),""),"")</f>
        <v/>
      </c>
      <c r="P197" s="25">
        <f>IFERROR(IF(AND(O197&lt;&gt;"",F197&lt;&gt;"",I197&lt;&gt;""),O197/(F197*I197),""),"")</f>
        <v/>
      </c>
      <c r="Q197" s="26">
        <f>IFERROR(IF(AND(O197&lt;&gt;"",J197&lt;&gt;"",J197&lt;&gt;0),O197/J197,""),"")</f>
        <v/>
      </c>
      <c r="R197" s="27">
        <f>IFERROR(IF(AND(L197&lt;&gt;"",B197&lt;&gt;""),L197-B197,""),"")</f>
        <v/>
      </c>
      <c r="S197" s="19" t="n"/>
      <c r="T197" s="19" t="n"/>
      <c r="U197" s="17">
        <f>IF(O197&lt;&gt;"",196,"")</f>
        <v/>
      </c>
      <c r="V197" s="18">
        <f>IF(O197&lt;&gt;"",V196+O197,V196)</f>
        <v/>
      </c>
    </row>
    <row r="198">
      <c r="A198" s="8" t="n"/>
      <c r="B198" s="9" t="n"/>
      <c r="C198" s="8" t="n"/>
      <c r="D198" s="8" t="n"/>
      <c r="E198" s="8" t="n"/>
      <c r="F198" s="10" t="n"/>
      <c r="G198" s="10" t="n"/>
      <c r="H198" s="10" t="n"/>
      <c r="I198" s="11" t="n"/>
      <c r="J198" s="10">
        <f>IFERROR(IF(AND(F198&lt;&gt;"",G198&lt;&gt;"",I198&lt;&gt;""),ABS(F198-G198)*I198,""),"")</f>
        <v/>
      </c>
      <c r="K198" s="12">
        <f>IFERROR(IF(AND(F198&lt;&gt;"",G198&lt;&gt;"",H198&lt;&gt;""),ABS(H198-F198)/ABS(F198-G198),""),"")</f>
        <v/>
      </c>
      <c r="L198" s="9" t="n"/>
      <c r="M198" s="10" t="n"/>
      <c r="N198" s="10" t="n"/>
      <c r="O198" s="13">
        <f>IFERROR(IF(AND(M198&lt;&gt;"",F198&lt;&gt;"",I198&lt;&gt;""),IF(D198="Long",(M198-F198)*I198-IF(N198&lt;&gt;"",N198,0),IF(D198="Short",(F198-M198)*I198-IF(N198&lt;&gt;"",N198,0),"")),""),"")</f>
        <v/>
      </c>
      <c r="P198" s="14">
        <f>IFERROR(IF(AND(O198&lt;&gt;"",F198&lt;&gt;"",I198&lt;&gt;""),O198/(F198*I198),""),"")</f>
        <v/>
      </c>
      <c r="Q198" s="15">
        <f>IFERROR(IF(AND(O198&lt;&gt;"",J198&lt;&gt;"",J198&lt;&gt;0),O198/J198,""),"")</f>
        <v/>
      </c>
      <c r="R198" s="16">
        <f>IFERROR(IF(AND(L198&lt;&gt;"",B198&lt;&gt;""),L198-B198,""),"")</f>
        <v/>
      </c>
      <c r="S198" s="8" t="n"/>
      <c r="T198" s="8" t="n"/>
      <c r="U198" s="17">
        <f>IF(O198&lt;&gt;"",197,"")</f>
        <v/>
      </c>
      <c r="V198" s="18">
        <f>IF(O198&lt;&gt;"",V197+O198,V197)</f>
        <v/>
      </c>
    </row>
    <row r="199">
      <c r="A199" s="19" t="n"/>
      <c r="B199" s="20" t="n"/>
      <c r="C199" s="19" t="n"/>
      <c r="D199" s="19" t="n"/>
      <c r="E199" s="19" t="n"/>
      <c r="F199" s="21" t="n"/>
      <c r="G199" s="21" t="n"/>
      <c r="H199" s="21" t="n"/>
      <c r="I199" s="22" t="n"/>
      <c r="J199" s="21">
        <f>IFERROR(IF(AND(F199&lt;&gt;"",G199&lt;&gt;"",I199&lt;&gt;""),ABS(F199-G199)*I199,""),"")</f>
        <v/>
      </c>
      <c r="K199" s="23">
        <f>IFERROR(IF(AND(F199&lt;&gt;"",G199&lt;&gt;"",H199&lt;&gt;""),ABS(H199-F199)/ABS(F199-G199),""),"")</f>
        <v/>
      </c>
      <c r="L199" s="20" t="n"/>
      <c r="M199" s="21" t="n"/>
      <c r="N199" s="21" t="n"/>
      <c r="O199" s="24">
        <f>IFERROR(IF(AND(M199&lt;&gt;"",F199&lt;&gt;"",I199&lt;&gt;""),IF(D199="Long",(M199-F199)*I199-IF(N199&lt;&gt;"",N199,0),IF(D199="Short",(F199-M199)*I199-IF(N199&lt;&gt;"",N199,0),"")),""),"")</f>
        <v/>
      </c>
      <c r="P199" s="25">
        <f>IFERROR(IF(AND(O199&lt;&gt;"",F199&lt;&gt;"",I199&lt;&gt;""),O199/(F199*I199),""),"")</f>
        <v/>
      </c>
      <c r="Q199" s="26">
        <f>IFERROR(IF(AND(O199&lt;&gt;"",J199&lt;&gt;"",J199&lt;&gt;0),O199/J199,""),"")</f>
        <v/>
      </c>
      <c r="R199" s="27">
        <f>IFERROR(IF(AND(L199&lt;&gt;"",B199&lt;&gt;""),L199-B199,""),"")</f>
        <v/>
      </c>
      <c r="S199" s="19" t="n"/>
      <c r="T199" s="19" t="n"/>
      <c r="U199" s="17">
        <f>IF(O199&lt;&gt;"",198,"")</f>
        <v/>
      </c>
      <c r="V199" s="18">
        <f>IF(O199&lt;&gt;"",V198+O199,V198)</f>
        <v/>
      </c>
    </row>
    <row r="200">
      <c r="A200" s="8" t="n"/>
      <c r="B200" s="9" t="n"/>
      <c r="C200" s="8" t="n"/>
      <c r="D200" s="8" t="n"/>
      <c r="E200" s="8" t="n"/>
      <c r="F200" s="10" t="n"/>
      <c r="G200" s="10" t="n"/>
      <c r="H200" s="10" t="n"/>
      <c r="I200" s="11" t="n"/>
      <c r="J200" s="10">
        <f>IFERROR(IF(AND(F200&lt;&gt;"",G200&lt;&gt;"",I200&lt;&gt;""),ABS(F200-G200)*I200,""),"")</f>
        <v/>
      </c>
      <c r="K200" s="12">
        <f>IFERROR(IF(AND(F200&lt;&gt;"",G200&lt;&gt;"",H200&lt;&gt;""),ABS(H200-F200)/ABS(F200-G200),""),"")</f>
        <v/>
      </c>
      <c r="L200" s="9" t="n"/>
      <c r="M200" s="10" t="n"/>
      <c r="N200" s="10" t="n"/>
      <c r="O200" s="13">
        <f>IFERROR(IF(AND(M200&lt;&gt;"",F200&lt;&gt;"",I200&lt;&gt;""),IF(D200="Long",(M200-F200)*I200-IF(N200&lt;&gt;"",N200,0),IF(D200="Short",(F200-M200)*I200-IF(N200&lt;&gt;"",N200,0),"")),""),"")</f>
        <v/>
      </c>
      <c r="P200" s="14">
        <f>IFERROR(IF(AND(O200&lt;&gt;"",F200&lt;&gt;"",I200&lt;&gt;""),O200/(F200*I200),""),"")</f>
        <v/>
      </c>
      <c r="Q200" s="15">
        <f>IFERROR(IF(AND(O200&lt;&gt;"",J200&lt;&gt;"",J200&lt;&gt;0),O200/J200,""),"")</f>
        <v/>
      </c>
      <c r="R200" s="16">
        <f>IFERROR(IF(AND(L200&lt;&gt;"",B200&lt;&gt;""),L200-B200,""),"")</f>
        <v/>
      </c>
      <c r="S200" s="8" t="n"/>
      <c r="T200" s="8" t="n"/>
      <c r="U200" s="17">
        <f>IF(O200&lt;&gt;"",199,"")</f>
        <v/>
      </c>
      <c r="V200" s="18">
        <f>IF(O200&lt;&gt;"",V199+O200,V199)</f>
        <v/>
      </c>
    </row>
    <row r="201">
      <c r="A201" s="19" t="n"/>
      <c r="B201" s="20" t="n"/>
      <c r="C201" s="19" t="n"/>
      <c r="D201" s="19" t="n"/>
      <c r="E201" s="19" t="n"/>
      <c r="F201" s="21" t="n"/>
      <c r="G201" s="21" t="n"/>
      <c r="H201" s="21" t="n"/>
      <c r="I201" s="22" t="n"/>
      <c r="J201" s="21">
        <f>IFERROR(IF(AND(F201&lt;&gt;"",G201&lt;&gt;"",I201&lt;&gt;""),ABS(F201-G201)*I201,""),"")</f>
        <v/>
      </c>
      <c r="K201" s="23">
        <f>IFERROR(IF(AND(F201&lt;&gt;"",G201&lt;&gt;"",H201&lt;&gt;""),ABS(H201-F201)/ABS(F201-G201),""),"")</f>
        <v/>
      </c>
      <c r="L201" s="20" t="n"/>
      <c r="M201" s="21" t="n"/>
      <c r="N201" s="21" t="n"/>
      <c r="O201" s="24">
        <f>IFERROR(IF(AND(M201&lt;&gt;"",F201&lt;&gt;"",I201&lt;&gt;""),IF(D201="Long",(M201-F201)*I201-IF(N201&lt;&gt;"",N201,0),IF(D201="Short",(F201-M201)*I201-IF(N201&lt;&gt;"",N201,0),"")),""),"")</f>
        <v/>
      </c>
      <c r="P201" s="25">
        <f>IFERROR(IF(AND(O201&lt;&gt;"",F201&lt;&gt;"",I201&lt;&gt;""),O201/(F201*I201),""),"")</f>
        <v/>
      </c>
      <c r="Q201" s="26">
        <f>IFERROR(IF(AND(O201&lt;&gt;"",J201&lt;&gt;"",J201&lt;&gt;0),O201/J201,""),"")</f>
        <v/>
      </c>
      <c r="R201" s="27">
        <f>IFERROR(IF(AND(L201&lt;&gt;"",B201&lt;&gt;""),L201-B201,""),"")</f>
        <v/>
      </c>
      <c r="S201" s="19" t="n"/>
      <c r="T201" s="19" t="n"/>
      <c r="U201" s="17">
        <f>IF(O201&lt;&gt;"",200,"")</f>
        <v/>
      </c>
      <c r="V201" s="18">
        <f>IF(O201&lt;&gt;"",V200+O201,V200)</f>
        <v/>
      </c>
    </row>
    <row r="202">
      <c r="A202" s="8" t="n"/>
      <c r="B202" s="9" t="n"/>
      <c r="C202" s="8" t="n"/>
      <c r="D202" s="8" t="n"/>
      <c r="E202" s="8" t="n"/>
      <c r="F202" s="10" t="n"/>
      <c r="G202" s="10" t="n"/>
      <c r="H202" s="10" t="n"/>
      <c r="I202" s="11" t="n"/>
      <c r="J202" s="10">
        <f>IFERROR(IF(AND(F202&lt;&gt;"",G202&lt;&gt;"",I202&lt;&gt;""),ABS(F202-G202)*I202,""),"")</f>
        <v/>
      </c>
      <c r="K202" s="12">
        <f>IFERROR(IF(AND(F202&lt;&gt;"",G202&lt;&gt;"",H202&lt;&gt;""),ABS(H202-F202)/ABS(F202-G202),""),"")</f>
        <v/>
      </c>
      <c r="L202" s="9" t="n"/>
      <c r="M202" s="10" t="n"/>
      <c r="N202" s="10" t="n"/>
      <c r="O202" s="13">
        <f>IFERROR(IF(AND(M202&lt;&gt;"",F202&lt;&gt;"",I202&lt;&gt;""),IF(D202="Long",(M202-F202)*I202-IF(N202&lt;&gt;"",N202,0),IF(D202="Short",(F202-M202)*I202-IF(N202&lt;&gt;"",N202,0),"")),""),"")</f>
        <v/>
      </c>
      <c r="P202" s="14">
        <f>IFERROR(IF(AND(O202&lt;&gt;"",F202&lt;&gt;"",I202&lt;&gt;""),O202/(F202*I202),""),"")</f>
        <v/>
      </c>
      <c r="Q202" s="15">
        <f>IFERROR(IF(AND(O202&lt;&gt;"",J202&lt;&gt;"",J202&lt;&gt;0),O202/J202,""),"")</f>
        <v/>
      </c>
      <c r="R202" s="16">
        <f>IFERROR(IF(AND(L202&lt;&gt;"",B202&lt;&gt;""),L202-B202,""),"")</f>
        <v/>
      </c>
      <c r="S202" s="8" t="n"/>
      <c r="T202" s="8" t="n"/>
      <c r="U202" s="17">
        <f>IF(O202&lt;&gt;"",201,"")</f>
        <v/>
      </c>
      <c r="V202" s="18">
        <f>IF(O202&lt;&gt;"",V201+O202,V201)</f>
        <v/>
      </c>
    </row>
    <row r="203">
      <c r="A203" s="19" t="n"/>
      <c r="B203" s="20" t="n"/>
      <c r="C203" s="19" t="n"/>
      <c r="D203" s="19" t="n"/>
      <c r="E203" s="19" t="n"/>
      <c r="F203" s="21" t="n"/>
      <c r="G203" s="21" t="n"/>
      <c r="H203" s="21" t="n"/>
      <c r="I203" s="22" t="n"/>
      <c r="J203" s="21">
        <f>IFERROR(IF(AND(F203&lt;&gt;"",G203&lt;&gt;"",I203&lt;&gt;""),ABS(F203-G203)*I203,""),"")</f>
        <v/>
      </c>
      <c r="K203" s="23">
        <f>IFERROR(IF(AND(F203&lt;&gt;"",G203&lt;&gt;"",H203&lt;&gt;""),ABS(H203-F203)/ABS(F203-G203),""),"")</f>
        <v/>
      </c>
      <c r="L203" s="20" t="n"/>
      <c r="M203" s="21" t="n"/>
      <c r="N203" s="21" t="n"/>
      <c r="O203" s="24">
        <f>IFERROR(IF(AND(M203&lt;&gt;"",F203&lt;&gt;"",I203&lt;&gt;""),IF(D203="Long",(M203-F203)*I203-IF(N203&lt;&gt;"",N203,0),IF(D203="Short",(F203-M203)*I203-IF(N203&lt;&gt;"",N203,0),"")),""),"")</f>
        <v/>
      </c>
      <c r="P203" s="25">
        <f>IFERROR(IF(AND(O203&lt;&gt;"",F203&lt;&gt;"",I203&lt;&gt;""),O203/(F203*I203),""),"")</f>
        <v/>
      </c>
      <c r="Q203" s="26">
        <f>IFERROR(IF(AND(O203&lt;&gt;"",J203&lt;&gt;"",J203&lt;&gt;0),O203/J203,""),"")</f>
        <v/>
      </c>
      <c r="R203" s="27">
        <f>IFERROR(IF(AND(L203&lt;&gt;"",B203&lt;&gt;""),L203-B203,""),"")</f>
        <v/>
      </c>
      <c r="S203" s="19" t="n"/>
      <c r="T203" s="19" t="n"/>
      <c r="U203" s="17">
        <f>IF(O203&lt;&gt;"",202,"")</f>
        <v/>
      </c>
      <c r="V203" s="18">
        <f>IF(O203&lt;&gt;"",V202+O203,V202)</f>
        <v/>
      </c>
    </row>
    <row r="204">
      <c r="A204" s="8" t="n"/>
      <c r="B204" s="9" t="n"/>
      <c r="C204" s="8" t="n"/>
      <c r="D204" s="8" t="n"/>
      <c r="E204" s="8" t="n"/>
      <c r="F204" s="10" t="n"/>
      <c r="G204" s="10" t="n"/>
      <c r="H204" s="10" t="n"/>
      <c r="I204" s="11" t="n"/>
      <c r="J204" s="10">
        <f>IFERROR(IF(AND(F204&lt;&gt;"",G204&lt;&gt;"",I204&lt;&gt;""),ABS(F204-G204)*I204,""),"")</f>
        <v/>
      </c>
      <c r="K204" s="12">
        <f>IFERROR(IF(AND(F204&lt;&gt;"",G204&lt;&gt;"",H204&lt;&gt;""),ABS(H204-F204)/ABS(F204-G204),""),"")</f>
        <v/>
      </c>
      <c r="L204" s="9" t="n"/>
      <c r="M204" s="10" t="n"/>
      <c r="N204" s="10" t="n"/>
      <c r="O204" s="13">
        <f>IFERROR(IF(AND(M204&lt;&gt;"",F204&lt;&gt;"",I204&lt;&gt;""),IF(D204="Long",(M204-F204)*I204-IF(N204&lt;&gt;"",N204,0),IF(D204="Short",(F204-M204)*I204-IF(N204&lt;&gt;"",N204,0),"")),""),"")</f>
        <v/>
      </c>
      <c r="P204" s="14">
        <f>IFERROR(IF(AND(O204&lt;&gt;"",F204&lt;&gt;"",I204&lt;&gt;""),O204/(F204*I204),""),"")</f>
        <v/>
      </c>
      <c r="Q204" s="15">
        <f>IFERROR(IF(AND(O204&lt;&gt;"",J204&lt;&gt;"",J204&lt;&gt;0),O204/J204,""),"")</f>
        <v/>
      </c>
      <c r="R204" s="16">
        <f>IFERROR(IF(AND(L204&lt;&gt;"",B204&lt;&gt;""),L204-B204,""),"")</f>
        <v/>
      </c>
      <c r="S204" s="8" t="n"/>
      <c r="T204" s="8" t="n"/>
      <c r="U204" s="17">
        <f>IF(O204&lt;&gt;"",203,"")</f>
        <v/>
      </c>
      <c r="V204" s="18">
        <f>IF(O204&lt;&gt;"",V203+O204,V203)</f>
        <v/>
      </c>
    </row>
    <row r="205">
      <c r="A205" s="19" t="n"/>
      <c r="B205" s="20" t="n"/>
      <c r="C205" s="19" t="n"/>
      <c r="D205" s="19" t="n"/>
      <c r="E205" s="19" t="n"/>
      <c r="F205" s="21" t="n"/>
      <c r="G205" s="21" t="n"/>
      <c r="H205" s="21" t="n"/>
      <c r="I205" s="22" t="n"/>
      <c r="J205" s="21">
        <f>IFERROR(IF(AND(F205&lt;&gt;"",G205&lt;&gt;"",I205&lt;&gt;""),ABS(F205-G205)*I205,""),"")</f>
        <v/>
      </c>
      <c r="K205" s="23">
        <f>IFERROR(IF(AND(F205&lt;&gt;"",G205&lt;&gt;"",H205&lt;&gt;""),ABS(H205-F205)/ABS(F205-G205),""),"")</f>
        <v/>
      </c>
      <c r="L205" s="20" t="n"/>
      <c r="M205" s="21" t="n"/>
      <c r="N205" s="21" t="n"/>
      <c r="O205" s="24">
        <f>IFERROR(IF(AND(M205&lt;&gt;"",F205&lt;&gt;"",I205&lt;&gt;""),IF(D205="Long",(M205-F205)*I205-IF(N205&lt;&gt;"",N205,0),IF(D205="Short",(F205-M205)*I205-IF(N205&lt;&gt;"",N205,0),"")),""),"")</f>
        <v/>
      </c>
      <c r="P205" s="25">
        <f>IFERROR(IF(AND(O205&lt;&gt;"",F205&lt;&gt;"",I205&lt;&gt;""),O205/(F205*I205),""),"")</f>
        <v/>
      </c>
      <c r="Q205" s="26">
        <f>IFERROR(IF(AND(O205&lt;&gt;"",J205&lt;&gt;"",J205&lt;&gt;0),O205/J205,""),"")</f>
        <v/>
      </c>
      <c r="R205" s="27">
        <f>IFERROR(IF(AND(L205&lt;&gt;"",B205&lt;&gt;""),L205-B205,""),"")</f>
        <v/>
      </c>
      <c r="S205" s="19" t="n"/>
      <c r="T205" s="19" t="n"/>
      <c r="U205" s="17">
        <f>IF(O205&lt;&gt;"",204,"")</f>
        <v/>
      </c>
      <c r="V205" s="18">
        <f>IF(O205&lt;&gt;"",V204+O205,V204)</f>
        <v/>
      </c>
    </row>
    <row r="206">
      <c r="A206" s="8" t="n"/>
      <c r="B206" s="9" t="n"/>
      <c r="C206" s="8" t="n"/>
      <c r="D206" s="8" t="n"/>
      <c r="E206" s="8" t="n"/>
      <c r="F206" s="10" t="n"/>
      <c r="G206" s="10" t="n"/>
      <c r="H206" s="10" t="n"/>
      <c r="I206" s="11" t="n"/>
      <c r="J206" s="10">
        <f>IFERROR(IF(AND(F206&lt;&gt;"",G206&lt;&gt;"",I206&lt;&gt;""),ABS(F206-G206)*I206,""),"")</f>
        <v/>
      </c>
      <c r="K206" s="12">
        <f>IFERROR(IF(AND(F206&lt;&gt;"",G206&lt;&gt;"",H206&lt;&gt;""),ABS(H206-F206)/ABS(F206-G206),""),"")</f>
        <v/>
      </c>
      <c r="L206" s="9" t="n"/>
      <c r="M206" s="10" t="n"/>
      <c r="N206" s="10" t="n"/>
      <c r="O206" s="13">
        <f>IFERROR(IF(AND(M206&lt;&gt;"",F206&lt;&gt;"",I206&lt;&gt;""),IF(D206="Long",(M206-F206)*I206-IF(N206&lt;&gt;"",N206,0),IF(D206="Short",(F206-M206)*I206-IF(N206&lt;&gt;"",N206,0),"")),""),"")</f>
        <v/>
      </c>
      <c r="P206" s="14">
        <f>IFERROR(IF(AND(O206&lt;&gt;"",F206&lt;&gt;"",I206&lt;&gt;""),O206/(F206*I206),""),"")</f>
        <v/>
      </c>
      <c r="Q206" s="15">
        <f>IFERROR(IF(AND(O206&lt;&gt;"",J206&lt;&gt;"",J206&lt;&gt;0),O206/J206,""),"")</f>
        <v/>
      </c>
      <c r="R206" s="16">
        <f>IFERROR(IF(AND(L206&lt;&gt;"",B206&lt;&gt;""),L206-B206,""),"")</f>
        <v/>
      </c>
      <c r="S206" s="8" t="n"/>
      <c r="T206" s="8" t="n"/>
      <c r="U206" s="17">
        <f>IF(O206&lt;&gt;"",205,"")</f>
        <v/>
      </c>
      <c r="V206" s="18">
        <f>IF(O206&lt;&gt;"",V205+O206,V205)</f>
        <v/>
      </c>
    </row>
    <row r="207">
      <c r="A207" s="19" t="n"/>
      <c r="B207" s="20" t="n"/>
      <c r="C207" s="19" t="n"/>
      <c r="D207" s="19" t="n"/>
      <c r="E207" s="19" t="n"/>
      <c r="F207" s="21" t="n"/>
      <c r="G207" s="21" t="n"/>
      <c r="H207" s="21" t="n"/>
      <c r="I207" s="22" t="n"/>
      <c r="J207" s="21">
        <f>IFERROR(IF(AND(F207&lt;&gt;"",G207&lt;&gt;"",I207&lt;&gt;""),ABS(F207-G207)*I207,""),"")</f>
        <v/>
      </c>
      <c r="K207" s="23">
        <f>IFERROR(IF(AND(F207&lt;&gt;"",G207&lt;&gt;"",H207&lt;&gt;""),ABS(H207-F207)/ABS(F207-G207),""),"")</f>
        <v/>
      </c>
      <c r="L207" s="20" t="n"/>
      <c r="M207" s="21" t="n"/>
      <c r="N207" s="21" t="n"/>
      <c r="O207" s="24">
        <f>IFERROR(IF(AND(M207&lt;&gt;"",F207&lt;&gt;"",I207&lt;&gt;""),IF(D207="Long",(M207-F207)*I207-IF(N207&lt;&gt;"",N207,0),IF(D207="Short",(F207-M207)*I207-IF(N207&lt;&gt;"",N207,0),"")),""),"")</f>
        <v/>
      </c>
      <c r="P207" s="25">
        <f>IFERROR(IF(AND(O207&lt;&gt;"",F207&lt;&gt;"",I207&lt;&gt;""),O207/(F207*I207),""),"")</f>
        <v/>
      </c>
      <c r="Q207" s="26">
        <f>IFERROR(IF(AND(O207&lt;&gt;"",J207&lt;&gt;"",J207&lt;&gt;0),O207/J207,""),"")</f>
        <v/>
      </c>
      <c r="R207" s="27">
        <f>IFERROR(IF(AND(L207&lt;&gt;"",B207&lt;&gt;""),L207-B207,""),"")</f>
        <v/>
      </c>
      <c r="S207" s="19" t="n"/>
      <c r="T207" s="19" t="n"/>
      <c r="U207" s="17">
        <f>IF(O207&lt;&gt;"",206,"")</f>
        <v/>
      </c>
      <c r="V207" s="18">
        <f>IF(O207&lt;&gt;"",V206+O207,V206)</f>
        <v/>
      </c>
    </row>
    <row r="208">
      <c r="A208" s="8" t="n"/>
      <c r="B208" s="9" t="n"/>
      <c r="C208" s="8" t="n"/>
      <c r="D208" s="8" t="n"/>
      <c r="E208" s="8" t="n"/>
      <c r="F208" s="10" t="n"/>
      <c r="G208" s="10" t="n"/>
      <c r="H208" s="10" t="n"/>
      <c r="I208" s="11" t="n"/>
      <c r="J208" s="10">
        <f>IFERROR(IF(AND(F208&lt;&gt;"",G208&lt;&gt;"",I208&lt;&gt;""),ABS(F208-G208)*I208,""),"")</f>
        <v/>
      </c>
      <c r="K208" s="12">
        <f>IFERROR(IF(AND(F208&lt;&gt;"",G208&lt;&gt;"",H208&lt;&gt;""),ABS(H208-F208)/ABS(F208-G208),""),"")</f>
        <v/>
      </c>
      <c r="L208" s="9" t="n"/>
      <c r="M208" s="10" t="n"/>
      <c r="N208" s="10" t="n"/>
      <c r="O208" s="13">
        <f>IFERROR(IF(AND(M208&lt;&gt;"",F208&lt;&gt;"",I208&lt;&gt;""),IF(D208="Long",(M208-F208)*I208-IF(N208&lt;&gt;"",N208,0),IF(D208="Short",(F208-M208)*I208-IF(N208&lt;&gt;"",N208,0),"")),""),"")</f>
        <v/>
      </c>
      <c r="P208" s="14">
        <f>IFERROR(IF(AND(O208&lt;&gt;"",F208&lt;&gt;"",I208&lt;&gt;""),O208/(F208*I208),""),"")</f>
        <v/>
      </c>
      <c r="Q208" s="15">
        <f>IFERROR(IF(AND(O208&lt;&gt;"",J208&lt;&gt;"",J208&lt;&gt;0),O208/J208,""),"")</f>
        <v/>
      </c>
      <c r="R208" s="16">
        <f>IFERROR(IF(AND(L208&lt;&gt;"",B208&lt;&gt;""),L208-B208,""),"")</f>
        <v/>
      </c>
      <c r="S208" s="8" t="n"/>
      <c r="T208" s="8" t="n"/>
      <c r="U208" s="17">
        <f>IF(O208&lt;&gt;"",207,"")</f>
        <v/>
      </c>
      <c r="V208" s="18">
        <f>IF(O208&lt;&gt;"",V207+O208,V207)</f>
        <v/>
      </c>
    </row>
    <row r="209">
      <c r="A209" s="19" t="n"/>
      <c r="B209" s="20" t="n"/>
      <c r="C209" s="19" t="n"/>
      <c r="D209" s="19" t="n"/>
      <c r="E209" s="19" t="n"/>
      <c r="F209" s="21" t="n"/>
      <c r="G209" s="21" t="n"/>
      <c r="H209" s="21" t="n"/>
      <c r="I209" s="22" t="n"/>
      <c r="J209" s="21">
        <f>IFERROR(IF(AND(F209&lt;&gt;"",G209&lt;&gt;"",I209&lt;&gt;""),ABS(F209-G209)*I209,""),"")</f>
        <v/>
      </c>
      <c r="K209" s="23">
        <f>IFERROR(IF(AND(F209&lt;&gt;"",G209&lt;&gt;"",H209&lt;&gt;""),ABS(H209-F209)/ABS(F209-G209),""),"")</f>
        <v/>
      </c>
      <c r="L209" s="20" t="n"/>
      <c r="M209" s="21" t="n"/>
      <c r="N209" s="21" t="n"/>
      <c r="O209" s="24">
        <f>IFERROR(IF(AND(M209&lt;&gt;"",F209&lt;&gt;"",I209&lt;&gt;""),IF(D209="Long",(M209-F209)*I209-IF(N209&lt;&gt;"",N209,0),IF(D209="Short",(F209-M209)*I209-IF(N209&lt;&gt;"",N209,0),"")),""),"")</f>
        <v/>
      </c>
      <c r="P209" s="25">
        <f>IFERROR(IF(AND(O209&lt;&gt;"",F209&lt;&gt;"",I209&lt;&gt;""),O209/(F209*I209),""),"")</f>
        <v/>
      </c>
      <c r="Q209" s="26">
        <f>IFERROR(IF(AND(O209&lt;&gt;"",J209&lt;&gt;"",J209&lt;&gt;0),O209/J209,""),"")</f>
        <v/>
      </c>
      <c r="R209" s="27">
        <f>IFERROR(IF(AND(L209&lt;&gt;"",B209&lt;&gt;""),L209-B209,""),"")</f>
        <v/>
      </c>
      <c r="S209" s="19" t="n"/>
      <c r="T209" s="19" t="n"/>
      <c r="U209" s="17">
        <f>IF(O209&lt;&gt;"",208,"")</f>
        <v/>
      </c>
      <c r="V209" s="18">
        <f>IF(O209&lt;&gt;"",V208+O209,V208)</f>
        <v/>
      </c>
    </row>
    <row r="210">
      <c r="A210" s="8" t="n"/>
      <c r="B210" s="9" t="n"/>
      <c r="C210" s="8" t="n"/>
      <c r="D210" s="8" t="n"/>
      <c r="E210" s="8" t="n"/>
      <c r="F210" s="10" t="n"/>
      <c r="G210" s="10" t="n"/>
      <c r="H210" s="10" t="n"/>
      <c r="I210" s="11" t="n"/>
      <c r="J210" s="10">
        <f>IFERROR(IF(AND(F210&lt;&gt;"",G210&lt;&gt;"",I210&lt;&gt;""),ABS(F210-G210)*I210,""),"")</f>
        <v/>
      </c>
      <c r="K210" s="12">
        <f>IFERROR(IF(AND(F210&lt;&gt;"",G210&lt;&gt;"",H210&lt;&gt;""),ABS(H210-F210)/ABS(F210-G210),""),"")</f>
        <v/>
      </c>
      <c r="L210" s="9" t="n"/>
      <c r="M210" s="10" t="n"/>
      <c r="N210" s="10" t="n"/>
      <c r="O210" s="13">
        <f>IFERROR(IF(AND(M210&lt;&gt;"",F210&lt;&gt;"",I210&lt;&gt;""),IF(D210="Long",(M210-F210)*I210-IF(N210&lt;&gt;"",N210,0),IF(D210="Short",(F210-M210)*I210-IF(N210&lt;&gt;"",N210,0),"")),""),"")</f>
        <v/>
      </c>
      <c r="P210" s="14">
        <f>IFERROR(IF(AND(O210&lt;&gt;"",F210&lt;&gt;"",I210&lt;&gt;""),O210/(F210*I210),""),"")</f>
        <v/>
      </c>
      <c r="Q210" s="15">
        <f>IFERROR(IF(AND(O210&lt;&gt;"",J210&lt;&gt;"",J210&lt;&gt;0),O210/J210,""),"")</f>
        <v/>
      </c>
      <c r="R210" s="16">
        <f>IFERROR(IF(AND(L210&lt;&gt;"",B210&lt;&gt;""),L210-B210,""),"")</f>
        <v/>
      </c>
      <c r="S210" s="8" t="n"/>
      <c r="T210" s="8" t="n"/>
      <c r="U210" s="17">
        <f>IF(O210&lt;&gt;"",209,"")</f>
        <v/>
      </c>
      <c r="V210" s="18">
        <f>IF(O210&lt;&gt;"",V209+O210,V209)</f>
        <v/>
      </c>
    </row>
    <row r="211">
      <c r="A211" s="19" t="n"/>
      <c r="B211" s="20" t="n"/>
      <c r="C211" s="19" t="n"/>
      <c r="D211" s="19" t="n"/>
      <c r="E211" s="19" t="n"/>
      <c r="F211" s="21" t="n"/>
      <c r="G211" s="21" t="n"/>
      <c r="H211" s="21" t="n"/>
      <c r="I211" s="22" t="n"/>
      <c r="J211" s="21">
        <f>IFERROR(IF(AND(F211&lt;&gt;"",G211&lt;&gt;"",I211&lt;&gt;""),ABS(F211-G211)*I211,""),"")</f>
        <v/>
      </c>
      <c r="K211" s="23">
        <f>IFERROR(IF(AND(F211&lt;&gt;"",G211&lt;&gt;"",H211&lt;&gt;""),ABS(H211-F211)/ABS(F211-G211),""),"")</f>
        <v/>
      </c>
      <c r="L211" s="20" t="n"/>
      <c r="M211" s="21" t="n"/>
      <c r="N211" s="21" t="n"/>
      <c r="O211" s="24">
        <f>IFERROR(IF(AND(M211&lt;&gt;"",F211&lt;&gt;"",I211&lt;&gt;""),IF(D211="Long",(M211-F211)*I211-IF(N211&lt;&gt;"",N211,0),IF(D211="Short",(F211-M211)*I211-IF(N211&lt;&gt;"",N211,0),"")),""),"")</f>
        <v/>
      </c>
      <c r="P211" s="25">
        <f>IFERROR(IF(AND(O211&lt;&gt;"",F211&lt;&gt;"",I211&lt;&gt;""),O211/(F211*I211),""),"")</f>
        <v/>
      </c>
      <c r="Q211" s="26">
        <f>IFERROR(IF(AND(O211&lt;&gt;"",J211&lt;&gt;"",J211&lt;&gt;0),O211/J211,""),"")</f>
        <v/>
      </c>
      <c r="R211" s="27">
        <f>IFERROR(IF(AND(L211&lt;&gt;"",B211&lt;&gt;""),L211-B211,""),"")</f>
        <v/>
      </c>
      <c r="S211" s="19" t="n"/>
      <c r="T211" s="19" t="n"/>
      <c r="U211" s="17">
        <f>IF(O211&lt;&gt;"",210,"")</f>
        <v/>
      </c>
      <c r="V211" s="18">
        <f>IF(O211&lt;&gt;"",V210+O211,V210)</f>
        <v/>
      </c>
    </row>
    <row r="212">
      <c r="A212" s="8" t="n"/>
      <c r="B212" s="9" t="n"/>
      <c r="C212" s="8" t="n"/>
      <c r="D212" s="8" t="n"/>
      <c r="E212" s="8" t="n"/>
      <c r="F212" s="10" t="n"/>
      <c r="G212" s="10" t="n"/>
      <c r="H212" s="10" t="n"/>
      <c r="I212" s="11" t="n"/>
      <c r="J212" s="10">
        <f>IFERROR(IF(AND(F212&lt;&gt;"",G212&lt;&gt;"",I212&lt;&gt;""),ABS(F212-G212)*I212,""),"")</f>
        <v/>
      </c>
      <c r="K212" s="12">
        <f>IFERROR(IF(AND(F212&lt;&gt;"",G212&lt;&gt;"",H212&lt;&gt;""),ABS(H212-F212)/ABS(F212-G212),""),"")</f>
        <v/>
      </c>
      <c r="L212" s="9" t="n"/>
      <c r="M212" s="10" t="n"/>
      <c r="N212" s="10" t="n"/>
      <c r="O212" s="13">
        <f>IFERROR(IF(AND(M212&lt;&gt;"",F212&lt;&gt;"",I212&lt;&gt;""),IF(D212="Long",(M212-F212)*I212-IF(N212&lt;&gt;"",N212,0),IF(D212="Short",(F212-M212)*I212-IF(N212&lt;&gt;"",N212,0),"")),""),"")</f>
        <v/>
      </c>
      <c r="P212" s="14">
        <f>IFERROR(IF(AND(O212&lt;&gt;"",F212&lt;&gt;"",I212&lt;&gt;""),O212/(F212*I212),""),"")</f>
        <v/>
      </c>
      <c r="Q212" s="15">
        <f>IFERROR(IF(AND(O212&lt;&gt;"",J212&lt;&gt;"",J212&lt;&gt;0),O212/J212,""),"")</f>
        <v/>
      </c>
      <c r="R212" s="16">
        <f>IFERROR(IF(AND(L212&lt;&gt;"",B212&lt;&gt;""),L212-B212,""),"")</f>
        <v/>
      </c>
      <c r="S212" s="8" t="n"/>
      <c r="T212" s="8" t="n"/>
      <c r="U212" s="17">
        <f>IF(O212&lt;&gt;"",211,"")</f>
        <v/>
      </c>
      <c r="V212" s="18">
        <f>IF(O212&lt;&gt;"",V211+O212,V211)</f>
        <v/>
      </c>
    </row>
    <row r="213">
      <c r="A213" s="19" t="n"/>
      <c r="B213" s="20" t="n"/>
      <c r="C213" s="19" t="n"/>
      <c r="D213" s="19" t="n"/>
      <c r="E213" s="19" t="n"/>
      <c r="F213" s="21" t="n"/>
      <c r="G213" s="21" t="n"/>
      <c r="H213" s="21" t="n"/>
      <c r="I213" s="22" t="n"/>
      <c r="J213" s="21">
        <f>IFERROR(IF(AND(F213&lt;&gt;"",G213&lt;&gt;"",I213&lt;&gt;""),ABS(F213-G213)*I213,""),"")</f>
        <v/>
      </c>
      <c r="K213" s="23">
        <f>IFERROR(IF(AND(F213&lt;&gt;"",G213&lt;&gt;"",H213&lt;&gt;""),ABS(H213-F213)/ABS(F213-G213),""),"")</f>
        <v/>
      </c>
      <c r="L213" s="20" t="n"/>
      <c r="M213" s="21" t="n"/>
      <c r="N213" s="21" t="n"/>
      <c r="O213" s="24">
        <f>IFERROR(IF(AND(M213&lt;&gt;"",F213&lt;&gt;"",I213&lt;&gt;""),IF(D213="Long",(M213-F213)*I213-IF(N213&lt;&gt;"",N213,0),IF(D213="Short",(F213-M213)*I213-IF(N213&lt;&gt;"",N213,0),"")),""),"")</f>
        <v/>
      </c>
      <c r="P213" s="25">
        <f>IFERROR(IF(AND(O213&lt;&gt;"",F213&lt;&gt;"",I213&lt;&gt;""),O213/(F213*I213),""),"")</f>
        <v/>
      </c>
      <c r="Q213" s="26">
        <f>IFERROR(IF(AND(O213&lt;&gt;"",J213&lt;&gt;"",J213&lt;&gt;0),O213/J213,""),"")</f>
        <v/>
      </c>
      <c r="R213" s="27">
        <f>IFERROR(IF(AND(L213&lt;&gt;"",B213&lt;&gt;""),L213-B213,""),"")</f>
        <v/>
      </c>
      <c r="S213" s="19" t="n"/>
      <c r="T213" s="19" t="n"/>
      <c r="U213" s="17">
        <f>IF(O213&lt;&gt;"",212,"")</f>
        <v/>
      </c>
      <c r="V213" s="18">
        <f>IF(O213&lt;&gt;"",V212+O213,V212)</f>
        <v/>
      </c>
    </row>
    <row r="214">
      <c r="A214" s="8" t="n"/>
      <c r="B214" s="9" t="n"/>
      <c r="C214" s="8" t="n"/>
      <c r="D214" s="8" t="n"/>
      <c r="E214" s="8" t="n"/>
      <c r="F214" s="10" t="n"/>
      <c r="G214" s="10" t="n"/>
      <c r="H214" s="10" t="n"/>
      <c r="I214" s="11" t="n"/>
      <c r="J214" s="10">
        <f>IFERROR(IF(AND(F214&lt;&gt;"",G214&lt;&gt;"",I214&lt;&gt;""),ABS(F214-G214)*I214,""),"")</f>
        <v/>
      </c>
      <c r="K214" s="12">
        <f>IFERROR(IF(AND(F214&lt;&gt;"",G214&lt;&gt;"",H214&lt;&gt;""),ABS(H214-F214)/ABS(F214-G214),""),"")</f>
        <v/>
      </c>
      <c r="L214" s="9" t="n"/>
      <c r="M214" s="10" t="n"/>
      <c r="N214" s="10" t="n"/>
      <c r="O214" s="13">
        <f>IFERROR(IF(AND(M214&lt;&gt;"",F214&lt;&gt;"",I214&lt;&gt;""),IF(D214="Long",(M214-F214)*I214-IF(N214&lt;&gt;"",N214,0),IF(D214="Short",(F214-M214)*I214-IF(N214&lt;&gt;"",N214,0),"")),""),"")</f>
        <v/>
      </c>
      <c r="P214" s="14">
        <f>IFERROR(IF(AND(O214&lt;&gt;"",F214&lt;&gt;"",I214&lt;&gt;""),O214/(F214*I214),""),"")</f>
        <v/>
      </c>
      <c r="Q214" s="15">
        <f>IFERROR(IF(AND(O214&lt;&gt;"",J214&lt;&gt;"",J214&lt;&gt;0),O214/J214,""),"")</f>
        <v/>
      </c>
      <c r="R214" s="16">
        <f>IFERROR(IF(AND(L214&lt;&gt;"",B214&lt;&gt;""),L214-B214,""),"")</f>
        <v/>
      </c>
      <c r="S214" s="8" t="n"/>
      <c r="T214" s="8" t="n"/>
      <c r="U214" s="17">
        <f>IF(O214&lt;&gt;"",213,"")</f>
        <v/>
      </c>
      <c r="V214" s="18">
        <f>IF(O214&lt;&gt;"",V213+O214,V213)</f>
        <v/>
      </c>
    </row>
    <row r="215">
      <c r="A215" s="19" t="n"/>
      <c r="B215" s="20" t="n"/>
      <c r="C215" s="19" t="n"/>
      <c r="D215" s="19" t="n"/>
      <c r="E215" s="19" t="n"/>
      <c r="F215" s="21" t="n"/>
      <c r="G215" s="21" t="n"/>
      <c r="H215" s="21" t="n"/>
      <c r="I215" s="22" t="n"/>
      <c r="J215" s="21">
        <f>IFERROR(IF(AND(F215&lt;&gt;"",G215&lt;&gt;"",I215&lt;&gt;""),ABS(F215-G215)*I215,""),"")</f>
        <v/>
      </c>
      <c r="K215" s="23">
        <f>IFERROR(IF(AND(F215&lt;&gt;"",G215&lt;&gt;"",H215&lt;&gt;""),ABS(H215-F215)/ABS(F215-G215),""),"")</f>
        <v/>
      </c>
      <c r="L215" s="20" t="n"/>
      <c r="M215" s="21" t="n"/>
      <c r="N215" s="21" t="n"/>
      <c r="O215" s="24">
        <f>IFERROR(IF(AND(M215&lt;&gt;"",F215&lt;&gt;"",I215&lt;&gt;""),IF(D215="Long",(M215-F215)*I215-IF(N215&lt;&gt;"",N215,0),IF(D215="Short",(F215-M215)*I215-IF(N215&lt;&gt;"",N215,0),"")),""),"")</f>
        <v/>
      </c>
      <c r="P215" s="25">
        <f>IFERROR(IF(AND(O215&lt;&gt;"",F215&lt;&gt;"",I215&lt;&gt;""),O215/(F215*I215),""),"")</f>
        <v/>
      </c>
      <c r="Q215" s="26">
        <f>IFERROR(IF(AND(O215&lt;&gt;"",J215&lt;&gt;"",J215&lt;&gt;0),O215/J215,""),"")</f>
        <v/>
      </c>
      <c r="R215" s="27">
        <f>IFERROR(IF(AND(L215&lt;&gt;"",B215&lt;&gt;""),L215-B215,""),"")</f>
        <v/>
      </c>
      <c r="S215" s="19" t="n"/>
      <c r="T215" s="19" t="n"/>
      <c r="U215" s="17">
        <f>IF(O215&lt;&gt;"",214,"")</f>
        <v/>
      </c>
      <c r="V215" s="18">
        <f>IF(O215&lt;&gt;"",V214+O215,V214)</f>
        <v/>
      </c>
    </row>
    <row r="216">
      <c r="A216" s="8" t="n"/>
      <c r="B216" s="9" t="n"/>
      <c r="C216" s="8" t="n"/>
      <c r="D216" s="8" t="n"/>
      <c r="E216" s="8" t="n"/>
      <c r="F216" s="10" t="n"/>
      <c r="G216" s="10" t="n"/>
      <c r="H216" s="10" t="n"/>
      <c r="I216" s="11" t="n"/>
      <c r="J216" s="10">
        <f>IFERROR(IF(AND(F216&lt;&gt;"",G216&lt;&gt;"",I216&lt;&gt;""),ABS(F216-G216)*I216,""),"")</f>
        <v/>
      </c>
      <c r="K216" s="12">
        <f>IFERROR(IF(AND(F216&lt;&gt;"",G216&lt;&gt;"",H216&lt;&gt;""),ABS(H216-F216)/ABS(F216-G216),""),"")</f>
        <v/>
      </c>
      <c r="L216" s="9" t="n"/>
      <c r="M216" s="10" t="n"/>
      <c r="N216" s="10" t="n"/>
      <c r="O216" s="13">
        <f>IFERROR(IF(AND(M216&lt;&gt;"",F216&lt;&gt;"",I216&lt;&gt;""),IF(D216="Long",(M216-F216)*I216-IF(N216&lt;&gt;"",N216,0),IF(D216="Short",(F216-M216)*I216-IF(N216&lt;&gt;"",N216,0),"")),""),"")</f>
        <v/>
      </c>
      <c r="P216" s="14">
        <f>IFERROR(IF(AND(O216&lt;&gt;"",F216&lt;&gt;"",I216&lt;&gt;""),O216/(F216*I216),""),"")</f>
        <v/>
      </c>
      <c r="Q216" s="15">
        <f>IFERROR(IF(AND(O216&lt;&gt;"",J216&lt;&gt;"",J216&lt;&gt;0),O216/J216,""),"")</f>
        <v/>
      </c>
      <c r="R216" s="16">
        <f>IFERROR(IF(AND(L216&lt;&gt;"",B216&lt;&gt;""),L216-B216,""),"")</f>
        <v/>
      </c>
      <c r="S216" s="8" t="n"/>
      <c r="T216" s="8" t="n"/>
      <c r="U216" s="17">
        <f>IF(O216&lt;&gt;"",215,"")</f>
        <v/>
      </c>
      <c r="V216" s="18">
        <f>IF(O216&lt;&gt;"",V215+O216,V215)</f>
        <v/>
      </c>
    </row>
    <row r="217">
      <c r="A217" s="19" t="n"/>
      <c r="B217" s="20" t="n"/>
      <c r="C217" s="19" t="n"/>
      <c r="D217" s="19" t="n"/>
      <c r="E217" s="19" t="n"/>
      <c r="F217" s="21" t="n"/>
      <c r="G217" s="21" t="n"/>
      <c r="H217" s="21" t="n"/>
      <c r="I217" s="22" t="n"/>
      <c r="J217" s="21">
        <f>IFERROR(IF(AND(F217&lt;&gt;"",G217&lt;&gt;"",I217&lt;&gt;""),ABS(F217-G217)*I217,""),"")</f>
        <v/>
      </c>
      <c r="K217" s="23">
        <f>IFERROR(IF(AND(F217&lt;&gt;"",G217&lt;&gt;"",H217&lt;&gt;""),ABS(H217-F217)/ABS(F217-G217),""),"")</f>
        <v/>
      </c>
      <c r="L217" s="20" t="n"/>
      <c r="M217" s="21" t="n"/>
      <c r="N217" s="21" t="n"/>
      <c r="O217" s="24">
        <f>IFERROR(IF(AND(M217&lt;&gt;"",F217&lt;&gt;"",I217&lt;&gt;""),IF(D217="Long",(M217-F217)*I217-IF(N217&lt;&gt;"",N217,0),IF(D217="Short",(F217-M217)*I217-IF(N217&lt;&gt;"",N217,0),"")),""),"")</f>
        <v/>
      </c>
      <c r="P217" s="25">
        <f>IFERROR(IF(AND(O217&lt;&gt;"",F217&lt;&gt;"",I217&lt;&gt;""),O217/(F217*I217),""),"")</f>
        <v/>
      </c>
      <c r="Q217" s="26">
        <f>IFERROR(IF(AND(O217&lt;&gt;"",J217&lt;&gt;"",J217&lt;&gt;0),O217/J217,""),"")</f>
        <v/>
      </c>
      <c r="R217" s="27">
        <f>IFERROR(IF(AND(L217&lt;&gt;"",B217&lt;&gt;""),L217-B217,""),"")</f>
        <v/>
      </c>
      <c r="S217" s="19" t="n"/>
      <c r="T217" s="19" t="n"/>
      <c r="U217" s="17">
        <f>IF(O217&lt;&gt;"",216,"")</f>
        <v/>
      </c>
      <c r="V217" s="18">
        <f>IF(O217&lt;&gt;"",V216+O217,V216)</f>
        <v/>
      </c>
    </row>
    <row r="218">
      <c r="A218" s="8" t="n"/>
      <c r="B218" s="9" t="n"/>
      <c r="C218" s="8" t="n"/>
      <c r="D218" s="8" t="n"/>
      <c r="E218" s="8" t="n"/>
      <c r="F218" s="10" t="n"/>
      <c r="G218" s="10" t="n"/>
      <c r="H218" s="10" t="n"/>
      <c r="I218" s="11" t="n"/>
      <c r="J218" s="10">
        <f>IFERROR(IF(AND(F218&lt;&gt;"",G218&lt;&gt;"",I218&lt;&gt;""),ABS(F218-G218)*I218,""),"")</f>
        <v/>
      </c>
      <c r="K218" s="12">
        <f>IFERROR(IF(AND(F218&lt;&gt;"",G218&lt;&gt;"",H218&lt;&gt;""),ABS(H218-F218)/ABS(F218-G218),""),"")</f>
        <v/>
      </c>
      <c r="L218" s="9" t="n"/>
      <c r="M218" s="10" t="n"/>
      <c r="N218" s="10" t="n"/>
      <c r="O218" s="13">
        <f>IFERROR(IF(AND(M218&lt;&gt;"",F218&lt;&gt;"",I218&lt;&gt;""),IF(D218="Long",(M218-F218)*I218-IF(N218&lt;&gt;"",N218,0),IF(D218="Short",(F218-M218)*I218-IF(N218&lt;&gt;"",N218,0),"")),""),"")</f>
        <v/>
      </c>
      <c r="P218" s="14">
        <f>IFERROR(IF(AND(O218&lt;&gt;"",F218&lt;&gt;"",I218&lt;&gt;""),O218/(F218*I218),""),"")</f>
        <v/>
      </c>
      <c r="Q218" s="15">
        <f>IFERROR(IF(AND(O218&lt;&gt;"",J218&lt;&gt;"",J218&lt;&gt;0),O218/J218,""),"")</f>
        <v/>
      </c>
      <c r="R218" s="16">
        <f>IFERROR(IF(AND(L218&lt;&gt;"",B218&lt;&gt;""),L218-B218,""),"")</f>
        <v/>
      </c>
      <c r="S218" s="8" t="n"/>
      <c r="T218" s="8" t="n"/>
      <c r="U218" s="17">
        <f>IF(O218&lt;&gt;"",217,"")</f>
        <v/>
      </c>
      <c r="V218" s="18">
        <f>IF(O218&lt;&gt;"",V217+O218,V217)</f>
        <v/>
      </c>
    </row>
    <row r="219">
      <c r="A219" s="19" t="n"/>
      <c r="B219" s="20" t="n"/>
      <c r="C219" s="19" t="n"/>
      <c r="D219" s="19" t="n"/>
      <c r="E219" s="19" t="n"/>
      <c r="F219" s="21" t="n"/>
      <c r="G219" s="21" t="n"/>
      <c r="H219" s="21" t="n"/>
      <c r="I219" s="22" t="n"/>
      <c r="J219" s="21">
        <f>IFERROR(IF(AND(F219&lt;&gt;"",G219&lt;&gt;"",I219&lt;&gt;""),ABS(F219-G219)*I219,""),"")</f>
        <v/>
      </c>
      <c r="K219" s="23">
        <f>IFERROR(IF(AND(F219&lt;&gt;"",G219&lt;&gt;"",H219&lt;&gt;""),ABS(H219-F219)/ABS(F219-G219),""),"")</f>
        <v/>
      </c>
      <c r="L219" s="20" t="n"/>
      <c r="M219" s="21" t="n"/>
      <c r="N219" s="21" t="n"/>
      <c r="O219" s="24">
        <f>IFERROR(IF(AND(M219&lt;&gt;"",F219&lt;&gt;"",I219&lt;&gt;""),IF(D219="Long",(M219-F219)*I219-IF(N219&lt;&gt;"",N219,0),IF(D219="Short",(F219-M219)*I219-IF(N219&lt;&gt;"",N219,0),"")),""),"")</f>
        <v/>
      </c>
      <c r="P219" s="25">
        <f>IFERROR(IF(AND(O219&lt;&gt;"",F219&lt;&gt;"",I219&lt;&gt;""),O219/(F219*I219),""),"")</f>
        <v/>
      </c>
      <c r="Q219" s="26">
        <f>IFERROR(IF(AND(O219&lt;&gt;"",J219&lt;&gt;"",J219&lt;&gt;0),O219/J219,""),"")</f>
        <v/>
      </c>
      <c r="R219" s="27">
        <f>IFERROR(IF(AND(L219&lt;&gt;"",B219&lt;&gt;""),L219-B219,""),"")</f>
        <v/>
      </c>
      <c r="S219" s="19" t="n"/>
      <c r="T219" s="19" t="n"/>
      <c r="U219" s="17">
        <f>IF(O219&lt;&gt;"",218,"")</f>
        <v/>
      </c>
      <c r="V219" s="18">
        <f>IF(O219&lt;&gt;"",V218+O219,V218)</f>
        <v/>
      </c>
    </row>
    <row r="220">
      <c r="A220" s="8" t="n"/>
      <c r="B220" s="9" t="n"/>
      <c r="C220" s="8" t="n"/>
      <c r="D220" s="8" t="n"/>
      <c r="E220" s="8" t="n"/>
      <c r="F220" s="10" t="n"/>
      <c r="G220" s="10" t="n"/>
      <c r="H220" s="10" t="n"/>
      <c r="I220" s="11" t="n"/>
      <c r="J220" s="10">
        <f>IFERROR(IF(AND(F220&lt;&gt;"",G220&lt;&gt;"",I220&lt;&gt;""),ABS(F220-G220)*I220,""),"")</f>
        <v/>
      </c>
      <c r="K220" s="12">
        <f>IFERROR(IF(AND(F220&lt;&gt;"",G220&lt;&gt;"",H220&lt;&gt;""),ABS(H220-F220)/ABS(F220-G220),""),"")</f>
        <v/>
      </c>
      <c r="L220" s="9" t="n"/>
      <c r="M220" s="10" t="n"/>
      <c r="N220" s="10" t="n"/>
      <c r="O220" s="13">
        <f>IFERROR(IF(AND(M220&lt;&gt;"",F220&lt;&gt;"",I220&lt;&gt;""),IF(D220="Long",(M220-F220)*I220-IF(N220&lt;&gt;"",N220,0),IF(D220="Short",(F220-M220)*I220-IF(N220&lt;&gt;"",N220,0),"")),""),"")</f>
        <v/>
      </c>
      <c r="P220" s="14">
        <f>IFERROR(IF(AND(O220&lt;&gt;"",F220&lt;&gt;"",I220&lt;&gt;""),O220/(F220*I220),""),"")</f>
        <v/>
      </c>
      <c r="Q220" s="15">
        <f>IFERROR(IF(AND(O220&lt;&gt;"",J220&lt;&gt;"",J220&lt;&gt;0),O220/J220,""),"")</f>
        <v/>
      </c>
      <c r="R220" s="16">
        <f>IFERROR(IF(AND(L220&lt;&gt;"",B220&lt;&gt;""),L220-B220,""),"")</f>
        <v/>
      </c>
      <c r="S220" s="8" t="n"/>
      <c r="T220" s="8" t="n"/>
      <c r="U220" s="17">
        <f>IF(O220&lt;&gt;"",219,"")</f>
        <v/>
      </c>
      <c r="V220" s="18">
        <f>IF(O220&lt;&gt;"",V219+O220,V219)</f>
        <v/>
      </c>
    </row>
    <row r="221">
      <c r="A221" s="19" t="n"/>
      <c r="B221" s="20" t="n"/>
      <c r="C221" s="19" t="n"/>
      <c r="D221" s="19" t="n"/>
      <c r="E221" s="19" t="n"/>
      <c r="F221" s="21" t="n"/>
      <c r="G221" s="21" t="n"/>
      <c r="H221" s="21" t="n"/>
      <c r="I221" s="22" t="n"/>
      <c r="J221" s="21">
        <f>IFERROR(IF(AND(F221&lt;&gt;"",G221&lt;&gt;"",I221&lt;&gt;""),ABS(F221-G221)*I221,""),"")</f>
        <v/>
      </c>
      <c r="K221" s="23">
        <f>IFERROR(IF(AND(F221&lt;&gt;"",G221&lt;&gt;"",H221&lt;&gt;""),ABS(H221-F221)/ABS(F221-G221),""),"")</f>
        <v/>
      </c>
      <c r="L221" s="20" t="n"/>
      <c r="M221" s="21" t="n"/>
      <c r="N221" s="21" t="n"/>
      <c r="O221" s="24">
        <f>IFERROR(IF(AND(M221&lt;&gt;"",F221&lt;&gt;"",I221&lt;&gt;""),IF(D221="Long",(M221-F221)*I221-IF(N221&lt;&gt;"",N221,0),IF(D221="Short",(F221-M221)*I221-IF(N221&lt;&gt;"",N221,0),"")),""),"")</f>
        <v/>
      </c>
      <c r="P221" s="25">
        <f>IFERROR(IF(AND(O221&lt;&gt;"",F221&lt;&gt;"",I221&lt;&gt;""),O221/(F221*I221),""),"")</f>
        <v/>
      </c>
      <c r="Q221" s="26">
        <f>IFERROR(IF(AND(O221&lt;&gt;"",J221&lt;&gt;"",J221&lt;&gt;0),O221/J221,""),"")</f>
        <v/>
      </c>
      <c r="R221" s="27">
        <f>IFERROR(IF(AND(L221&lt;&gt;"",B221&lt;&gt;""),L221-B221,""),"")</f>
        <v/>
      </c>
      <c r="S221" s="19" t="n"/>
      <c r="T221" s="19" t="n"/>
      <c r="U221" s="17">
        <f>IF(O221&lt;&gt;"",220,"")</f>
        <v/>
      </c>
      <c r="V221" s="18">
        <f>IF(O221&lt;&gt;"",V220+O221,V220)</f>
        <v/>
      </c>
    </row>
    <row r="222">
      <c r="A222" s="8" t="n"/>
      <c r="B222" s="9" t="n"/>
      <c r="C222" s="8" t="n"/>
      <c r="D222" s="8" t="n"/>
      <c r="E222" s="8" t="n"/>
      <c r="F222" s="10" t="n"/>
      <c r="G222" s="10" t="n"/>
      <c r="H222" s="10" t="n"/>
      <c r="I222" s="11" t="n"/>
      <c r="J222" s="10">
        <f>IFERROR(IF(AND(F222&lt;&gt;"",G222&lt;&gt;"",I222&lt;&gt;""),ABS(F222-G222)*I222,""),"")</f>
        <v/>
      </c>
      <c r="K222" s="12">
        <f>IFERROR(IF(AND(F222&lt;&gt;"",G222&lt;&gt;"",H222&lt;&gt;""),ABS(H222-F222)/ABS(F222-G222),""),"")</f>
        <v/>
      </c>
      <c r="L222" s="9" t="n"/>
      <c r="M222" s="10" t="n"/>
      <c r="N222" s="10" t="n"/>
      <c r="O222" s="13">
        <f>IFERROR(IF(AND(M222&lt;&gt;"",F222&lt;&gt;"",I222&lt;&gt;""),IF(D222="Long",(M222-F222)*I222-IF(N222&lt;&gt;"",N222,0),IF(D222="Short",(F222-M222)*I222-IF(N222&lt;&gt;"",N222,0),"")),""),"")</f>
        <v/>
      </c>
      <c r="P222" s="14">
        <f>IFERROR(IF(AND(O222&lt;&gt;"",F222&lt;&gt;"",I222&lt;&gt;""),O222/(F222*I222),""),"")</f>
        <v/>
      </c>
      <c r="Q222" s="15">
        <f>IFERROR(IF(AND(O222&lt;&gt;"",J222&lt;&gt;"",J222&lt;&gt;0),O222/J222,""),"")</f>
        <v/>
      </c>
      <c r="R222" s="16">
        <f>IFERROR(IF(AND(L222&lt;&gt;"",B222&lt;&gt;""),L222-B222,""),"")</f>
        <v/>
      </c>
      <c r="S222" s="8" t="n"/>
      <c r="T222" s="8" t="n"/>
      <c r="U222" s="17">
        <f>IF(O222&lt;&gt;"",221,"")</f>
        <v/>
      </c>
      <c r="V222" s="18">
        <f>IF(O222&lt;&gt;"",V221+O222,V221)</f>
        <v/>
      </c>
    </row>
    <row r="223">
      <c r="A223" s="19" t="n"/>
      <c r="B223" s="20" t="n"/>
      <c r="C223" s="19" t="n"/>
      <c r="D223" s="19" t="n"/>
      <c r="E223" s="19" t="n"/>
      <c r="F223" s="21" t="n"/>
      <c r="G223" s="21" t="n"/>
      <c r="H223" s="21" t="n"/>
      <c r="I223" s="22" t="n"/>
      <c r="J223" s="21">
        <f>IFERROR(IF(AND(F223&lt;&gt;"",G223&lt;&gt;"",I223&lt;&gt;""),ABS(F223-G223)*I223,""),"")</f>
        <v/>
      </c>
      <c r="K223" s="23">
        <f>IFERROR(IF(AND(F223&lt;&gt;"",G223&lt;&gt;"",H223&lt;&gt;""),ABS(H223-F223)/ABS(F223-G223),""),"")</f>
        <v/>
      </c>
      <c r="L223" s="20" t="n"/>
      <c r="M223" s="21" t="n"/>
      <c r="N223" s="21" t="n"/>
      <c r="O223" s="24">
        <f>IFERROR(IF(AND(M223&lt;&gt;"",F223&lt;&gt;"",I223&lt;&gt;""),IF(D223="Long",(M223-F223)*I223-IF(N223&lt;&gt;"",N223,0),IF(D223="Short",(F223-M223)*I223-IF(N223&lt;&gt;"",N223,0),"")),""),"")</f>
        <v/>
      </c>
      <c r="P223" s="25">
        <f>IFERROR(IF(AND(O223&lt;&gt;"",F223&lt;&gt;"",I223&lt;&gt;""),O223/(F223*I223),""),"")</f>
        <v/>
      </c>
      <c r="Q223" s="26">
        <f>IFERROR(IF(AND(O223&lt;&gt;"",J223&lt;&gt;"",J223&lt;&gt;0),O223/J223,""),"")</f>
        <v/>
      </c>
      <c r="R223" s="27">
        <f>IFERROR(IF(AND(L223&lt;&gt;"",B223&lt;&gt;""),L223-B223,""),"")</f>
        <v/>
      </c>
      <c r="S223" s="19" t="n"/>
      <c r="T223" s="19" t="n"/>
      <c r="U223" s="17">
        <f>IF(O223&lt;&gt;"",222,"")</f>
        <v/>
      </c>
      <c r="V223" s="18">
        <f>IF(O223&lt;&gt;"",V222+O223,V222)</f>
        <v/>
      </c>
    </row>
    <row r="224">
      <c r="A224" s="8" t="n"/>
      <c r="B224" s="9" t="n"/>
      <c r="C224" s="8" t="n"/>
      <c r="D224" s="8" t="n"/>
      <c r="E224" s="8" t="n"/>
      <c r="F224" s="10" t="n"/>
      <c r="G224" s="10" t="n"/>
      <c r="H224" s="10" t="n"/>
      <c r="I224" s="11" t="n"/>
      <c r="J224" s="10">
        <f>IFERROR(IF(AND(F224&lt;&gt;"",G224&lt;&gt;"",I224&lt;&gt;""),ABS(F224-G224)*I224,""),"")</f>
        <v/>
      </c>
      <c r="K224" s="12">
        <f>IFERROR(IF(AND(F224&lt;&gt;"",G224&lt;&gt;"",H224&lt;&gt;""),ABS(H224-F224)/ABS(F224-G224),""),"")</f>
        <v/>
      </c>
      <c r="L224" s="9" t="n"/>
      <c r="M224" s="10" t="n"/>
      <c r="N224" s="10" t="n"/>
      <c r="O224" s="13">
        <f>IFERROR(IF(AND(M224&lt;&gt;"",F224&lt;&gt;"",I224&lt;&gt;""),IF(D224="Long",(M224-F224)*I224-IF(N224&lt;&gt;"",N224,0),IF(D224="Short",(F224-M224)*I224-IF(N224&lt;&gt;"",N224,0),"")),""),"")</f>
        <v/>
      </c>
      <c r="P224" s="14">
        <f>IFERROR(IF(AND(O224&lt;&gt;"",F224&lt;&gt;"",I224&lt;&gt;""),O224/(F224*I224),""),"")</f>
        <v/>
      </c>
      <c r="Q224" s="15">
        <f>IFERROR(IF(AND(O224&lt;&gt;"",J224&lt;&gt;"",J224&lt;&gt;0),O224/J224,""),"")</f>
        <v/>
      </c>
      <c r="R224" s="16">
        <f>IFERROR(IF(AND(L224&lt;&gt;"",B224&lt;&gt;""),L224-B224,""),"")</f>
        <v/>
      </c>
      <c r="S224" s="8" t="n"/>
      <c r="T224" s="8" t="n"/>
      <c r="U224" s="17">
        <f>IF(O224&lt;&gt;"",223,"")</f>
        <v/>
      </c>
      <c r="V224" s="18">
        <f>IF(O224&lt;&gt;"",V223+O224,V223)</f>
        <v/>
      </c>
    </row>
    <row r="225">
      <c r="A225" s="19" t="n"/>
      <c r="B225" s="20" t="n"/>
      <c r="C225" s="19" t="n"/>
      <c r="D225" s="19" t="n"/>
      <c r="E225" s="19" t="n"/>
      <c r="F225" s="21" t="n"/>
      <c r="G225" s="21" t="n"/>
      <c r="H225" s="21" t="n"/>
      <c r="I225" s="22" t="n"/>
      <c r="J225" s="21">
        <f>IFERROR(IF(AND(F225&lt;&gt;"",G225&lt;&gt;"",I225&lt;&gt;""),ABS(F225-G225)*I225,""),"")</f>
        <v/>
      </c>
      <c r="K225" s="23">
        <f>IFERROR(IF(AND(F225&lt;&gt;"",G225&lt;&gt;"",H225&lt;&gt;""),ABS(H225-F225)/ABS(F225-G225),""),"")</f>
        <v/>
      </c>
      <c r="L225" s="20" t="n"/>
      <c r="M225" s="21" t="n"/>
      <c r="N225" s="21" t="n"/>
      <c r="O225" s="24">
        <f>IFERROR(IF(AND(M225&lt;&gt;"",F225&lt;&gt;"",I225&lt;&gt;""),IF(D225="Long",(M225-F225)*I225-IF(N225&lt;&gt;"",N225,0),IF(D225="Short",(F225-M225)*I225-IF(N225&lt;&gt;"",N225,0),"")),""),"")</f>
        <v/>
      </c>
      <c r="P225" s="25">
        <f>IFERROR(IF(AND(O225&lt;&gt;"",F225&lt;&gt;"",I225&lt;&gt;""),O225/(F225*I225),""),"")</f>
        <v/>
      </c>
      <c r="Q225" s="26">
        <f>IFERROR(IF(AND(O225&lt;&gt;"",J225&lt;&gt;"",J225&lt;&gt;0),O225/J225,""),"")</f>
        <v/>
      </c>
      <c r="R225" s="27">
        <f>IFERROR(IF(AND(L225&lt;&gt;"",B225&lt;&gt;""),L225-B225,""),"")</f>
        <v/>
      </c>
      <c r="S225" s="19" t="n"/>
      <c r="T225" s="19" t="n"/>
      <c r="U225" s="17">
        <f>IF(O225&lt;&gt;"",224,"")</f>
        <v/>
      </c>
      <c r="V225" s="18">
        <f>IF(O225&lt;&gt;"",V224+O225,V224)</f>
        <v/>
      </c>
    </row>
    <row r="226">
      <c r="A226" s="8" t="n"/>
      <c r="B226" s="9" t="n"/>
      <c r="C226" s="8" t="n"/>
      <c r="D226" s="8" t="n"/>
      <c r="E226" s="8" t="n"/>
      <c r="F226" s="10" t="n"/>
      <c r="G226" s="10" t="n"/>
      <c r="H226" s="10" t="n"/>
      <c r="I226" s="11" t="n"/>
      <c r="J226" s="10">
        <f>IFERROR(IF(AND(F226&lt;&gt;"",G226&lt;&gt;"",I226&lt;&gt;""),ABS(F226-G226)*I226,""),"")</f>
        <v/>
      </c>
      <c r="K226" s="12">
        <f>IFERROR(IF(AND(F226&lt;&gt;"",G226&lt;&gt;"",H226&lt;&gt;""),ABS(H226-F226)/ABS(F226-G226),""),"")</f>
        <v/>
      </c>
      <c r="L226" s="9" t="n"/>
      <c r="M226" s="10" t="n"/>
      <c r="N226" s="10" t="n"/>
      <c r="O226" s="13">
        <f>IFERROR(IF(AND(M226&lt;&gt;"",F226&lt;&gt;"",I226&lt;&gt;""),IF(D226="Long",(M226-F226)*I226-IF(N226&lt;&gt;"",N226,0),IF(D226="Short",(F226-M226)*I226-IF(N226&lt;&gt;"",N226,0),"")),""),"")</f>
        <v/>
      </c>
      <c r="P226" s="14">
        <f>IFERROR(IF(AND(O226&lt;&gt;"",F226&lt;&gt;"",I226&lt;&gt;""),O226/(F226*I226),""),"")</f>
        <v/>
      </c>
      <c r="Q226" s="15">
        <f>IFERROR(IF(AND(O226&lt;&gt;"",J226&lt;&gt;"",J226&lt;&gt;0),O226/J226,""),"")</f>
        <v/>
      </c>
      <c r="R226" s="16">
        <f>IFERROR(IF(AND(L226&lt;&gt;"",B226&lt;&gt;""),L226-B226,""),"")</f>
        <v/>
      </c>
      <c r="S226" s="8" t="n"/>
      <c r="T226" s="8" t="n"/>
      <c r="U226" s="17">
        <f>IF(O226&lt;&gt;"",225,"")</f>
        <v/>
      </c>
      <c r="V226" s="18">
        <f>IF(O226&lt;&gt;"",V225+O226,V225)</f>
        <v/>
      </c>
    </row>
    <row r="227">
      <c r="A227" s="19" t="n"/>
      <c r="B227" s="20" t="n"/>
      <c r="C227" s="19" t="n"/>
      <c r="D227" s="19" t="n"/>
      <c r="E227" s="19" t="n"/>
      <c r="F227" s="21" t="n"/>
      <c r="G227" s="21" t="n"/>
      <c r="H227" s="21" t="n"/>
      <c r="I227" s="22" t="n"/>
      <c r="J227" s="21">
        <f>IFERROR(IF(AND(F227&lt;&gt;"",G227&lt;&gt;"",I227&lt;&gt;""),ABS(F227-G227)*I227,""),"")</f>
        <v/>
      </c>
      <c r="K227" s="23">
        <f>IFERROR(IF(AND(F227&lt;&gt;"",G227&lt;&gt;"",H227&lt;&gt;""),ABS(H227-F227)/ABS(F227-G227),""),"")</f>
        <v/>
      </c>
      <c r="L227" s="20" t="n"/>
      <c r="M227" s="21" t="n"/>
      <c r="N227" s="21" t="n"/>
      <c r="O227" s="24">
        <f>IFERROR(IF(AND(M227&lt;&gt;"",F227&lt;&gt;"",I227&lt;&gt;""),IF(D227="Long",(M227-F227)*I227-IF(N227&lt;&gt;"",N227,0),IF(D227="Short",(F227-M227)*I227-IF(N227&lt;&gt;"",N227,0),"")),""),"")</f>
        <v/>
      </c>
      <c r="P227" s="25">
        <f>IFERROR(IF(AND(O227&lt;&gt;"",F227&lt;&gt;"",I227&lt;&gt;""),O227/(F227*I227),""),"")</f>
        <v/>
      </c>
      <c r="Q227" s="26">
        <f>IFERROR(IF(AND(O227&lt;&gt;"",J227&lt;&gt;"",J227&lt;&gt;0),O227/J227,""),"")</f>
        <v/>
      </c>
      <c r="R227" s="27">
        <f>IFERROR(IF(AND(L227&lt;&gt;"",B227&lt;&gt;""),L227-B227,""),"")</f>
        <v/>
      </c>
      <c r="S227" s="19" t="n"/>
      <c r="T227" s="19" t="n"/>
      <c r="U227" s="17">
        <f>IF(O227&lt;&gt;"",226,"")</f>
        <v/>
      </c>
      <c r="V227" s="18">
        <f>IF(O227&lt;&gt;"",V226+O227,V226)</f>
        <v/>
      </c>
    </row>
    <row r="228">
      <c r="A228" s="8" t="n"/>
      <c r="B228" s="9" t="n"/>
      <c r="C228" s="8" t="n"/>
      <c r="D228" s="8" t="n"/>
      <c r="E228" s="8" t="n"/>
      <c r="F228" s="10" t="n"/>
      <c r="G228" s="10" t="n"/>
      <c r="H228" s="10" t="n"/>
      <c r="I228" s="11" t="n"/>
      <c r="J228" s="10">
        <f>IFERROR(IF(AND(F228&lt;&gt;"",G228&lt;&gt;"",I228&lt;&gt;""),ABS(F228-G228)*I228,""),"")</f>
        <v/>
      </c>
      <c r="K228" s="12">
        <f>IFERROR(IF(AND(F228&lt;&gt;"",G228&lt;&gt;"",H228&lt;&gt;""),ABS(H228-F228)/ABS(F228-G228),""),"")</f>
        <v/>
      </c>
      <c r="L228" s="9" t="n"/>
      <c r="M228" s="10" t="n"/>
      <c r="N228" s="10" t="n"/>
      <c r="O228" s="13">
        <f>IFERROR(IF(AND(M228&lt;&gt;"",F228&lt;&gt;"",I228&lt;&gt;""),IF(D228="Long",(M228-F228)*I228-IF(N228&lt;&gt;"",N228,0),IF(D228="Short",(F228-M228)*I228-IF(N228&lt;&gt;"",N228,0),"")),""),"")</f>
        <v/>
      </c>
      <c r="P228" s="14">
        <f>IFERROR(IF(AND(O228&lt;&gt;"",F228&lt;&gt;"",I228&lt;&gt;""),O228/(F228*I228),""),"")</f>
        <v/>
      </c>
      <c r="Q228" s="15">
        <f>IFERROR(IF(AND(O228&lt;&gt;"",J228&lt;&gt;"",J228&lt;&gt;0),O228/J228,""),"")</f>
        <v/>
      </c>
      <c r="R228" s="16">
        <f>IFERROR(IF(AND(L228&lt;&gt;"",B228&lt;&gt;""),L228-B228,""),"")</f>
        <v/>
      </c>
      <c r="S228" s="8" t="n"/>
      <c r="T228" s="8" t="n"/>
      <c r="U228" s="17">
        <f>IF(O228&lt;&gt;"",227,"")</f>
        <v/>
      </c>
      <c r="V228" s="18">
        <f>IF(O228&lt;&gt;"",V227+O228,V227)</f>
        <v/>
      </c>
    </row>
    <row r="229">
      <c r="A229" s="19" t="n"/>
      <c r="B229" s="20" t="n"/>
      <c r="C229" s="19" t="n"/>
      <c r="D229" s="19" t="n"/>
      <c r="E229" s="19" t="n"/>
      <c r="F229" s="21" t="n"/>
      <c r="G229" s="21" t="n"/>
      <c r="H229" s="21" t="n"/>
      <c r="I229" s="22" t="n"/>
      <c r="J229" s="21">
        <f>IFERROR(IF(AND(F229&lt;&gt;"",G229&lt;&gt;"",I229&lt;&gt;""),ABS(F229-G229)*I229,""),"")</f>
        <v/>
      </c>
      <c r="K229" s="23">
        <f>IFERROR(IF(AND(F229&lt;&gt;"",G229&lt;&gt;"",H229&lt;&gt;""),ABS(H229-F229)/ABS(F229-G229),""),"")</f>
        <v/>
      </c>
      <c r="L229" s="20" t="n"/>
      <c r="M229" s="21" t="n"/>
      <c r="N229" s="21" t="n"/>
      <c r="O229" s="24">
        <f>IFERROR(IF(AND(M229&lt;&gt;"",F229&lt;&gt;"",I229&lt;&gt;""),IF(D229="Long",(M229-F229)*I229-IF(N229&lt;&gt;"",N229,0),IF(D229="Short",(F229-M229)*I229-IF(N229&lt;&gt;"",N229,0),"")),""),"")</f>
        <v/>
      </c>
      <c r="P229" s="25">
        <f>IFERROR(IF(AND(O229&lt;&gt;"",F229&lt;&gt;"",I229&lt;&gt;""),O229/(F229*I229),""),"")</f>
        <v/>
      </c>
      <c r="Q229" s="26">
        <f>IFERROR(IF(AND(O229&lt;&gt;"",J229&lt;&gt;"",J229&lt;&gt;0),O229/J229,""),"")</f>
        <v/>
      </c>
      <c r="R229" s="27">
        <f>IFERROR(IF(AND(L229&lt;&gt;"",B229&lt;&gt;""),L229-B229,""),"")</f>
        <v/>
      </c>
      <c r="S229" s="19" t="n"/>
      <c r="T229" s="19" t="n"/>
      <c r="U229" s="17">
        <f>IF(O229&lt;&gt;"",228,"")</f>
        <v/>
      </c>
      <c r="V229" s="18">
        <f>IF(O229&lt;&gt;"",V228+O229,V228)</f>
        <v/>
      </c>
    </row>
    <row r="230">
      <c r="A230" s="8" t="n"/>
      <c r="B230" s="9" t="n"/>
      <c r="C230" s="8" t="n"/>
      <c r="D230" s="8" t="n"/>
      <c r="E230" s="8" t="n"/>
      <c r="F230" s="10" t="n"/>
      <c r="G230" s="10" t="n"/>
      <c r="H230" s="10" t="n"/>
      <c r="I230" s="11" t="n"/>
      <c r="J230" s="10">
        <f>IFERROR(IF(AND(F230&lt;&gt;"",G230&lt;&gt;"",I230&lt;&gt;""),ABS(F230-G230)*I230,""),"")</f>
        <v/>
      </c>
      <c r="K230" s="12">
        <f>IFERROR(IF(AND(F230&lt;&gt;"",G230&lt;&gt;"",H230&lt;&gt;""),ABS(H230-F230)/ABS(F230-G230),""),"")</f>
        <v/>
      </c>
      <c r="L230" s="9" t="n"/>
      <c r="M230" s="10" t="n"/>
      <c r="N230" s="10" t="n"/>
      <c r="O230" s="13">
        <f>IFERROR(IF(AND(M230&lt;&gt;"",F230&lt;&gt;"",I230&lt;&gt;""),IF(D230="Long",(M230-F230)*I230-IF(N230&lt;&gt;"",N230,0),IF(D230="Short",(F230-M230)*I230-IF(N230&lt;&gt;"",N230,0),"")),""),"")</f>
        <v/>
      </c>
      <c r="P230" s="14">
        <f>IFERROR(IF(AND(O230&lt;&gt;"",F230&lt;&gt;"",I230&lt;&gt;""),O230/(F230*I230),""),"")</f>
        <v/>
      </c>
      <c r="Q230" s="15">
        <f>IFERROR(IF(AND(O230&lt;&gt;"",J230&lt;&gt;"",J230&lt;&gt;0),O230/J230,""),"")</f>
        <v/>
      </c>
      <c r="R230" s="16">
        <f>IFERROR(IF(AND(L230&lt;&gt;"",B230&lt;&gt;""),L230-B230,""),"")</f>
        <v/>
      </c>
      <c r="S230" s="8" t="n"/>
      <c r="T230" s="8" t="n"/>
      <c r="U230" s="17">
        <f>IF(O230&lt;&gt;"",229,"")</f>
        <v/>
      </c>
      <c r="V230" s="18">
        <f>IF(O230&lt;&gt;"",V229+O230,V229)</f>
        <v/>
      </c>
    </row>
    <row r="231">
      <c r="A231" s="19" t="n"/>
      <c r="B231" s="20" t="n"/>
      <c r="C231" s="19" t="n"/>
      <c r="D231" s="19" t="n"/>
      <c r="E231" s="19" t="n"/>
      <c r="F231" s="21" t="n"/>
      <c r="G231" s="21" t="n"/>
      <c r="H231" s="21" t="n"/>
      <c r="I231" s="22" t="n"/>
      <c r="J231" s="21">
        <f>IFERROR(IF(AND(F231&lt;&gt;"",G231&lt;&gt;"",I231&lt;&gt;""),ABS(F231-G231)*I231,""),"")</f>
        <v/>
      </c>
      <c r="K231" s="23">
        <f>IFERROR(IF(AND(F231&lt;&gt;"",G231&lt;&gt;"",H231&lt;&gt;""),ABS(H231-F231)/ABS(F231-G231),""),"")</f>
        <v/>
      </c>
      <c r="L231" s="20" t="n"/>
      <c r="M231" s="21" t="n"/>
      <c r="N231" s="21" t="n"/>
      <c r="O231" s="24">
        <f>IFERROR(IF(AND(M231&lt;&gt;"",F231&lt;&gt;"",I231&lt;&gt;""),IF(D231="Long",(M231-F231)*I231-IF(N231&lt;&gt;"",N231,0),IF(D231="Short",(F231-M231)*I231-IF(N231&lt;&gt;"",N231,0),"")),""),"")</f>
        <v/>
      </c>
      <c r="P231" s="25">
        <f>IFERROR(IF(AND(O231&lt;&gt;"",F231&lt;&gt;"",I231&lt;&gt;""),O231/(F231*I231),""),"")</f>
        <v/>
      </c>
      <c r="Q231" s="26">
        <f>IFERROR(IF(AND(O231&lt;&gt;"",J231&lt;&gt;"",J231&lt;&gt;0),O231/J231,""),"")</f>
        <v/>
      </c>
      <c r="R231" s="27">
        <f>IFERROR(IF(AND(L231&lt;&gt;"",B231&lt;&gt;""),L231-B231,""),"")</f>
        <v/>
      </c>
      <c r="S231" s="19" t="n"/>
      <c r="T231" s="19" t="n"/>
      <c r="U231" s="17">
        <f>IF(O231&lt;&gt;"",230,"")</f>
        <v/>
      </c>
      <c r="V231" s="18">
        <f>IF(O231&lt;&gt;"",V230+O231,V230)</f>
        <v/>
      </c>
    </row>
    <row r="232">
      <c r="A232" s="8" t="n"/>
      <c r="B232" s="9" t="n"/>
      <c r="C232" s="8" t="n"/>
      <c r="D232" s="8" t="n"/>
      <c r="E232" s="8" t="n"/>
      <c r="F232" s="10" t="n"/>
      <c r="G232" s="10" t="n"/>
      <c r="H232" s="10" t="n"/>
      <c r="I232" s="11" t="n"/>
      <c r="J232" s="10">
        <f>IFERROR(IF(AND(F232&lt;&gt;"",G232&lt;&gt;"",I232&lt;&gt;""),ABS(F232-G232)*I232,""),"")</f>
        <v/>
      </c>
      <c r="K232" s="12">
        <f>IFERROR(IF(AND(F232&lt;&gt;"",G232&lt;&gt;"",H232&lt;&gt;""),ABS(H232-F232)/ABS(F232-G232),""),"")</f>
        <v/>
      </c>
      <c r="L232" s="9" t="n"/>
      <c r="M232" s="10" t="n"/>
      <c r="N232" s="10" t="n"/>
      <c r="O232" s="13">
        <f>IFERROR(IF(AND(M232&lt;&gt;"",F232&lt;&gt;"",I232&lt;&gt;""),IF(D232="Long",(M232-F232)*I232-IF(N232&lt;&gt;"",N232,0),IF(D232="Short",(F232-M232)*I232-IF(N232&lt;&gt;"",N232,0),"")),""),"")</f>
        <v/>
      </c>
      <c r="P232" s="14">
        <f>IFERROR(IF(AND(O232&lt;&gt;"",F232&lt;&gt;"",I232&lt;&gt;""),O232/(F232*I232),""),"")</f>
        <v/>
      </c>
      <c r="Q232" s="15">
        <f>IFERROR(IF(AND(O232&lt;&gt;"",J232&lt;&gt;"",J232&lt;&gt;0),O232/J232,""),"")</f>
        <v/>
      </c>
      <c r="R232" s="16">
        <f>IFERROR(IF(AND(L232&lt;&gt;"",B232&lt;&gt;""),L232-B232,""),"")</f>
        <v/>
      </c>
      <c r="S232" s="8" t="n"/>
      <c r="T232" s="8" t="n"/>
      <c r="U232" s="17">
        <f>IF(O232&lt;&gt;"",231,"")</f>
        <v/>
      </c>
      <c r="V232" s="18">
        <f>IF(O232&lt;&gt;"",V231+O232,V231)</f>
        <v/>
      </c>
    </row>
    <row r="233">
      <c r="A233" s="19" t="n"/>
      <c r="B233" s="20" t="n"/>
      <c r="C233" s="19" t="n"/>
      <c r="D233" s="19" t="n"/>
      <c r="E233" s="19" t="n"/>
      <c r="F233" s="21" t="n"/>
      <c r="G233" s="21" t="n"/>
      <c r="H233" s="21" t="n"/>
      <c r="I233" s="22" t="n"/>
      <c r="J233" s="21">
        <f>IFERROR(IF(AND(F233&lt;&gt;"",G233&lt;&gt;"",I233&lt;&gt;""),ABS(F233-G233)*I233,""),"")</f>
        <v/>
      </c>
      <c r="K233" s="23">
        <f>IFERROR(IF(AND(F233&lt;&gt;"",G233&lt;&gt;"",H233&lt;&gt;""),ABS(H233-F233)/ABS(F233-G233),""),"")</f>
        <v/>
      </c>
      <c r="L233" s="20" t="n"/>
      <c r="M233" s="21" t="n"/>
      <c r="N233" s="21" t="n"/>
      <c r="O233" s="24">
        <f>IFERROR(IF(AND(M233&lt;&gt;"",F233&lt;&gt;"",I233&lt;&gt;""),IF(D233="Long",(M233-F233)*I233-IF(N233&lt;&gt;"",N233,0),IF(D233="Short",(F233-M233)*I233-IF(N233&lt;&gt;"",N233,0),"")),""),"")</f>
        <v/>
      </c>
      <c r="P233" s="25">
        <f>IFERROR(IF(AND(O233&lt;&gt;"",F233&lt;&gt;"",I233&lt;&gt;""),O233/(F233*I233),""),"")</f>
        <v/>
      </c>
      <c r="Q233" s="26">
        <f>IFERROR(IF(AND(O233&lt;&gt;"",J233&lt;&gt;"",J233&lt;&gt;0),O233/J233,""),"")</f>
        <v/>
      </c>
      <c r="R233" s="27">
        <f>IFERROR(IF(AND(L233&lt;&gt;"",B233&lt;&gt;""),L233-B233,""),"")</f>
        <v/>
      </c>
      <c r="S233" s="19" t="n"/>
      <c r="T233" s="19" t="n"/>
      <c r="U233" s="17">
        <f>IF(O233&lt;&gt;"",232,"")</f>
        <v/>
      </c>
      <c r="V233" s="18">
        <f>IF(O233&lt;&gt;"",V232+O233,V232)</f>
        <v/>
      </c>
    </row>
    <row r="234">
      <c r="A234" s="8" t="n"/>
      <c r="B234" s="9" t="n"/>
      <c r="C234" s="8" t="n"/>
      <c r="D234" s="8" t="n"/>
      <c r="E234" s="8" t="n"/>
      <c r="F234" s="10" t="n"/>
      <c r="G234" s="10" t="n"/>
      <c r="H234" s="10" t="n"/>
      <c r="I234" s="11" t="n"/>
      <c r="J234" s="10">
        <f>IFERROR(IF(AND(F234&lt;&gt;"",G234&lt;&gt;"",I234&lt;&gt;""),ABS(F234-G234)*I234,""),"")</f>
        <v/>
      </c>
      <c r="K234" s="12">
        <f>IFERROR(IF(AND(F234&lt;&gt;"",G234&lt;&gt;"",H234&lt;&gt;""),ABS(H234-F234)/ABS(F234-G234),""),"")</f>
        <v/>
      </c>
      <c r="L234" s="9" t="n"/>
      <c r="M234" s="10" t="n"/>
      <c r="N234" s="10" t="n"/>
      <c r="O234" s="13">
        <f>IFERROR(IF(AND(M234&lt;&gt;"",F234&lt;&gt;"",I234&lt;&gt;""),IF(D234="Long",(M234-F234)*I234-IF(N234&lt;&gt;"",N234,0),IF(D234="Short",(F234-M234)*I234-IF(N234&lt;&gt;"",N234,0),"")),""),"")</f>
        <v/>
      </c>
      <c r="P234" s="14">
        <f>IFERROR(IF(AND(O234&lt;&gt;"",F234&lt;&gt;"",I234&lt;&gt;""),O234/(F234*I234),""),"")</f>
        <v/>
      </c>
      <c r="Q234" s="15">
        <f>IFERROR(IF(AND(O234&lt;&gt;"",J234&lt;&gt;"",J234&lt;&gt;0),O234/J234,""),"")</f>
        <v/>
      </c>
      <c r="R234" s="16">
        <f>IFERROR(IF(AND(L234&lt;&gt;"",B234&lt;&gt;""),L234-B234,""),"")</f>
        <v/>
      </c>
      <c r="S234" s="8" t="n"/>
      <c r="T234" s="8" t="n"/>
      <c r="U234" s="17">
        <f>IF(O234&lt;&gt;"",233,"")</f>
        <v/>
      </c>
      <c r="V234" s="18">
        <f>IF(O234&lt;&gt;"",V233+O234,V233)</f>
        <v/>
      </c>
    </row>
    <row r="235">
      <c r="A235" s="19" t="n"/>
      <c r="B235" s="20" t="n"/>
      <c r="C235" s="19" t="n"/>
      <c r="D235" s="19" t="n"/>
      <c r="E235" s="19" t="n"/>
      <c r="F235" s="21" t="n"/>
      <c r="G235" s="21" t="n"/>
      <c r="H235" s="21" t="n"/>
      <c r="I235" s="22" t="n"/>
      <c r="J235" s="21">
        <f>IFERROR(IF(AND(F235&lt;&gt;"",G235&lt;&gt;"",I235&lt;&gt;""),ABS(F235-G235)*I235,""),"")</f>
        <v/>
      </c>
      <c r="K235" s="23">
        <f>IFERROR(IF(AND(F235&lt;&gt;"",G235&lt;&gt;"",H235&lt;&gt;""),ABS(H235-F235)/ABS(F235-G235),""),"")</f>
        <v/>
      </c>
      <c r="L235" s="20" t="n"/>
      <c r="M235" s="21" t="n"/>
      <c r="N235" s="21" t="n"/>
      <c r="O235" s="24">
        <f>IFERROR(IF(AND(M235&lt;&gt;"",F235&lt;&gt;"",I235&lt;&gt;""),IF(D235="Long",(M235-F235)*I235-IF(N235&lt;&gt;"",N235,0),IF(D235="Short",(F235-M235)*I235-IF(N235&lt;&gt;"",N235,0),"")),""),"")</f>
        <v/>
      </c>
      <c r="P235" s="25">
        <f>IFERROR(IF(AND(O235&lt;&gt;"",F235&lt;&gt;"",I235&lt;&gt;""),O235/(F235*I235),""),"")</f>
        <v/>
      </c>
      <c r="Q235" s="26">
        <f>IFERROR(IF(AND(O235&lt;&gt;"",J235&lt;&gt;"",J235&lt;&gt;0),O235/J235,""),"")</f>
        <v/>
      </c>
      <c r="R235" s="27">
        <f>IFERROR(IF(AND(L235&lt;&gt;"",B235&lt;&gt;""),L235-B235,""),"")</f>
        <v/>
      </c>
      <c r="S235" s="19" t="n"/>
      <c r="T235" s="19" t="n"/>
      <c r="U235" s="17">
        <f>IF(O235&lt;&gt;"",234,"")</f>
        <v/>
      </c>
      <c r="V235" s="18">
        <f>IF(O235&lt;&gt;"",V234+O235,V234)</f>
        <v/>
      </c>
    </row>
    <row r="236">
      <c r="A236" s="8" t="n"/>
      <c r="B236" s="9" t="n"/>
      <c r="C236" s="8" t="n"/>
      <c r="D236" s="8" t="n"/>
      <c r="E236" s="8" t="n"/>
      <c r="F236" s="10" t="n"/>
      <c r="G236" s="10" t="n"/>
      <c r="H236" s="10" t="n"/>
      <c r="I236" s="11" t="n"/>
      <c r="J236" s="10">
        <f>IFERROR(IF(AND(F236&lt;&gt;"",G236&lt;&gt;"",I236&lt;&gt;""),ABS(F236-G236)*I236,""),"")</f>
        <v/>
      </c>
      <c r="K236" s="12">
        <f>IFERROR(IF(AND(F236&lt;&gt;"",G236&lt;&gt;"",H236&lt;&gt;""),ABS(H236-F236)/ABS(F236-G236),""),"")</f>
        <v/>
      </c>
      <c r="L236" s="9" t="n"/>
      <c r="M236" s="10" t="n"/>
      <c r="N236" s="10" t="n"/>
      <c r="O236" s="13">
        <f>IFERROR(IF(AND(M236&lt;&gt;"",F236&lt;&gt;"",I236&lt;&gt;""),IF(D236="Long",(M236-F236)*I236-IF(N236&lt;&gt;"",N236,0),IF(D236="Short",(F236-M236)*I236-IF(N236&lt;&gt;"",N236,0),"")),""),"")</f>
        <v/>
      </c>
      <c r="P236" s="14">
        <f>IFERROR(IF(AND(O236&lt;&gt;"",F236&lt;&gt;"",I236&lt;&gt;""),O236/(F236*I236),""),"")</f>
        <v/>
      </c>
      <c r="Q236" s="15">
        <f>IFERROR(IF(AND(O236&lt;&gt;"",J236&lt;&gt;"",J236&lt;&gt;0),O236/J236,""),"")</f>
        <v/>
      </c>
      <c r="R236" s="16">
        <f>IFERROR(IF(AND(L236&lt;&gt;"",B236&lt;&gt;""),L236-B236,""),"")</f>
        <v/>
      </c>
      <c r="S236" s="8" t="n"/>
      <c r="T236" s="8" t="n"/>
      <c r="U236" s="17">
        <f>IF(O236&lt;&gt;"",235,"")</f>
        <v/>
      </c>
      <c r="V236" s="18">
        <f>IF(O236&lt;&gt;"",V235+O236,V235)</f>
        <v/>
      </c>
    </row>
    <row r="237">
      <c r="A237" s="19" t="n"/>
      <c r="B237" s="20" t="n"/>
      <c r="C237" s="19" t="n"/>
      <c r="D237" s="19" t="n"/>
      <c r="E237" s="19" t="n"/>
      <c r="F237" s="21" t="n"/>
      <c r="G237" s="21" t="n"/>
      <c r="H237" s="21" t="n"/>
      <c r="I237" s="22" t="n"/>
      <c r="J237" s="21">
        <f>IFERROR(IF(AND(F237&lt;&gt;"",G237&lt;&gt;"",I237&lt;&gt;""),ABS(F237-G237)*I237,""),"")</f>
        <v/>
      </c>
      <c r="K237" s="23">
        <f>IFERROR(IF(AND(F237&lt;&gt;"",G237&lt;&gt;"",H237&lt;&gt;""),ABS(H237-F237)/ABS(F237-G237),""),"")</f>
        <v/>
      </c>
      <c r="L237" s="20" t="n"/>
      <c r="M237" s="21" t="n"/>
      <c r="N237" s="21" t="n"/>
      <c r="O237" s="24">
        <f>IFERROR(IF(AND(M237&lt;&gt;"",F237&lt;&gt;"",I237&lt;&gt;""),IF(D237="Long",(M237-F237)*I237-IF(N237&lt;&gt;"",N237,0),IF(D237="Short",(F237-M237)*I237-IF(N237&lt;&gt;"",N237,0),"")),""),"")</f>
        <v/>
      </c>
      <c r="P237" s="25">
        <f>IFERROR(IF(AND(O237&lt;&gt;"",F237&lt;&gt;"",I237&lt;&gt;""),O237/(F237*I237),""),"")</f>
        <v/>
      </c>
      <c r="Q237" s="26">
        <f>IFERROR(IF(AND(O237&lt;&gt;"",J237&lt;&gt;"",J237&lt;&gt;0),O237/J237,""),"")</f>
        <v/>
      </c>
      <c r="R237" s="27">
        <f>IFERROR(IF(AND(L237&lt;&gt;"",B237&lt;&gt;""),L237-B237,""),"")</f>
        <v/>
      </c>
      <c r="S237" s="19" t="n"/>
      <c r="T237" s="19" t="n"/>
      <c r="U237" s="17">
        <f>IF(O237&lt;&gt;"",236,"")</f>
        <v/>
      </c>
      <c r="V237" s="18">
        <f>IF(O237&lt;&gt;"",V236+O237,V236)</f>
        <v/>
      </c>
    </row>
    <row r="238">
      <c r="A238" s="8" t="n"/>
      <c r="B238" s="9" t="n"/>
      <c r="C238" s="8" t="n"/>
      <c r="D238" s="8" t="n"/>
      <c r="E238" s="8" t="n"/>
      <c r="F238" s="10" t="n"/>
      <c r="G238" s="10" t="n"/>
      <c r="H238" s="10" t="n"/>
      <c r="I238" s="11" t="n"/>
      <c r="J238" s="10">
        <f>IFERROR(IF(AND(F238&lt;&gt;"",G238&lt;&gt;"",I238&lt;&gt;""),ABS(F238-G238)*I238,""),"")</f>
        <v/>
      </c>
      <c r="K238" s="12">
        <f>IFERROR(IF(AND(F238&lt;&gt;"",G238&lt;&gt;"",H238&lt;&gt;""),ABS(H238-F238)/ABS(F238-G238),""),"")</f>
        <v/>
      </c>
      <c r="L238" s="9" t="n"/>
      <c r="M238" s="10" t="n"/>
      <c r="N238" s="10" t="n"/>
      <c r="O238" s="13">
        <f>IFERROR(IF(AND(M238&lt;&gt;"",F238&lt;&gt;"",I238&lt;&gt;""),IF(D238="Long",(M238-F238)*I238-IF(N238&lt;&gt;"",N238,0),IF(D238="Short",(F238-M238)*I238-IF(N238&lt;&gt;"",N238,0),"")),""),"")</f>
        <v/>
      </c>
      <c r="P238" s="14">
        <f>IFERROR(IF(AND(O238&lt;&gt;"",F238&lt;&gt;"",I238&lt;&gt;""),O238/(F238*I238),""),"")</f>
        <v/>
      </c>
      <c r="Q238" s="15">
        <f>IFERROR(IF(AND(O238&lt;&gt;"",J238&lt;&gt;"",J238&lt;&gt;0),O238/J238,""),"")</f>
        <v/>
      </c>
      <c r="R238" s="16">
        <f>IFERROR(IF(AND(L238&lt;&gt;"",B238&lt;&gt;""),L238-B238,""),"")</f>
        <v/>
      </c>
      <c r="S238" s="8" t="n"/>
      <c r="T238" s="8" t="n"/>
      <c r="U238" s="17">
        <f>IF(O238&lt;&gt;"",237,"")</f>
        <v/>
      </c>
      <c r="V238" s="18">
        <f>IF(O238&lt;&gt;"",V237+O238,V237)</f>
        <v/>
      </c>
    </row>
    <row r="239">
      <c r="A239" s="19" t="n"/>
      <c r="B239" s="20" t="n"/>
      <c r="C239" s="19" t="n"/>
      <c r="D239" s="19" t="n"/>
      <c r="E239" s="19" t="n"/>
      <c r="F239" s="21" t="n"/>
      <c r="G239" s="21" t="n"/>
      <c r="H239" s="21" t="n"/>
      <c r="I239" s="22" t="n"/>
      <c r="J239" s="21">
        <f>IFERROR(IF(AND(F239&lt;&gt;"",G239&lt;&gt;"",I239&lt;&gt;""),ABS(F239-G239)*I239,""),"")</f>
        <v/>
      </c>
      <c r="K239" s="23">
        <f>IFERROR(IF(AND(F239&lt;&gt;"",G239&lt;&gt;"",H239&lt;&gt;""),ABS(H239-F239)/ABS(F239-G239),""),"")</f>
        <v/>
      </c>
      <c r="L239" s="20" t="n"/>
      <c r="M239" s="21" t="n"/>
      <c r="N239" s="21" t="n"/>
      <c r="O239" s="24">
        <f>IFERROR(IF(AND(M239&lt;&gt;"",F239&lt;&gt;"",I239&lt;&gt;""),IF(D239="Long",(M239-F239)*I239-IF(N239&lt;&gt;"",N239,0),IF(D239="Short",(F239-M239)*I239-IF(N239&lt;&gt;"",N239,0),"")),""),"")</f>
        <v/>
      </c>
      <c r="P239" s="25">
        <f>IFERROR(IF(AND(O239&lt;&gt;"",F239&lt;&gt;"",I239&lt;&gt;""),O239/(F239*I239),""),"")</f>
        <v/>
      </c>
      <c r="Q239" s="26">
        <f>IFERROR(IF(AND(O239&lt;&gt;"",J239&lt;&gt;"",J239&lt;&gt;0),O239/J239,""),"")</f>
        <v/>
      </c>
      <c r="R239" s="27">
        <f>IFERROR(IF(AND(L239&lt;&gt;"",B239&lt;&gt;""),L239-B239,""),"")</f>
        <v/>
      </c>
      <c r="S239" s="19" t="n"/>
      <c r="T239" s="19" t="n"/>
      <c r="U239" s="17">
        <f>IF(O239&lt;&gt;"",238,"")</f>
        <v/>
      </c>
      <c r="V239" s="18">
        <f>IF(O239&lt;&gt;"",V238+O239,V238)</f>
        <v/>
      </c>
    </row>
    <row r="240">
      <c r="A240" s="8" t="n"/>
      <c r="B240" s="9" t="n"/>
      <c r="C240" s="8" t="n"/>
      <c r="D240" s="8" t="n"/>
      <c r="E240" s="8" t="n"/>
      <c r="F240" s="10" t="n"/>
      <c r="G240" s="10" t="n"/>
      <c r="H240" s="10" t="n"/>
      <c r="I240" s="11" t="n"/>
      <c r="J240" s="10">
        <f>IFERROR(IF(AND(F240&lt;&gt;"",G240&lt;&gt;"",I240&lt;&gt;""),ABS(F240-G240)*I240,""),"")</f>
        <v/>
      </c>
      <c r="K240" s="12">
        <f>IFERROR(IF(AND(F240&lt;&gt;"",G240&lt;&gt;"",H240&lt;&gt;""),ABS(H240-F240)/ABS(F240-G240),""),"")</f>
        <v/>
      </c>
      <c r="L240" s="9" t="n"/>
      <c r="M240" s="10" t="n"/>
      <c r="N240" s="10" t="n"/>
      <c r="O240" s="13">
        <f>IFERROR(IF(AND(M240&lt;&gt;"",F240&lt;&gt;"",I240&lt;&gt;""),IF(D240="Long",(M240-F240)*I240-IF(N240&lt;&gt;"",N240,0),IF(D240="Short",(F240-M240)*I240-IF(N240&lt;&gt;"",N240,0),"")),""),"")</f>
        <v/>
      </c>
      <c r="P240" s="14">
        <f>IFERROR(IF(AND(O240&lt;&gt;"",F240&lt;&gt;"",I240&lt;&gt;""),O240/(F240*I240),""),"")</f>
        <v/>
      </c>
      <c r="Q240" s="15">
        <f>IFERROR(IF(AND(O240&lt;&gt;"",J240&lt;&gt;"",J240&lt;&gt;0),O240/J240,""),"")</f>
        <v/>
      </c>
      <c r="R240" s="16">
        <f>IFERROR(IF(AND(L240&lt;&gt;"",B240&lt;&gt;""),L240-B240,""),"")</f>
        <v/>
      </c>
      <c r="S240" s="8" t="n"/>
      <c r="T240" s="8" t="n"/>
      <c r="U240" s="17">
        <f>IF(O240&lt;&gt;"",239,"")</f>
        <v/>
      </c>
      <c r="V240" s="18">
        <f>IF(O240&lt;&gt;"",V239+O240,V239)</f>
        <v/>
      </c>
    </row>
    <row r="241">
      <c r="A241" s="19" t="n"/>
      <c r="B241" s="20" t="n"/>
      <c r="C241" s="19" t="n"/>
      <c r="D241" s="19" t="n"/>
      <c r="E241" s="19" t="n"/>
      <c r="F241" s="21" t="n"/>
      <c r="G241" s="21" t="n"/>
      <c r="H241" s="21" t="n"/>
      <c r="I241" s="22" t="n"/>
      <c r="J241" s="21">
        <f>IFERROR(IF(AND(F241&lt;&gt;"",G241&lt;&gt;"",I241&lt;&gt;""),ABS(F241-G241)*I241,""),"")</f>
        <v/>
      </c>
      <c r="K241" s="23">
        <f>IFERROR(IF(AND(F241&lt;&gt;"",G241&lt;&gt;"",H241&lt;&gt;""),ABS(H241-F241)/ABS(F241-G241),""),"")</f>
        <v/>
      </c>
      <c r="L241" s="20" t="n"/>
      <c r="M241" s="21" t="n"/>
      <c r="N241" s="21" t="n"/>
      <c r="O241" s="24">
        <f>IFERROR(IF(AND(M241&lt;&gt;"",F241&lt;&gt;"",I241&lt;&gt;""),IF(D241="Long",(M241-F241)*I241-IF(N241&lt;&gt;"",N241,0),IF(D241="Short",(F241-M241)*I241-IF(N241&lt;&gt;"",N241,0),"")),""),"")</f>
        <v/>
      </c>
      <c r="P241" s="25">
        <f>IFERROR(IF(AND(O241&lt;&gt;"",F241&lt;&gt;"",I241&lt;&gt;""),O241/(F241*I241),""),"")</f>
        <v/>
      </c>
      <c r="Q241" s="26">
        <f>IFERROR(IF(AND(O241&lt;&gt;"",J241&lt;&gt;"",J241&lt;&gt;0),O241/J241,""),"")</f>
        <v/>
      </c>
      <c r="R241" s="27">
        <f>IFERROR(IF(AND(L241&lt;&gt;"",B241&lt;&gt;""),L241-B241,""),"")</f>
        <v/>
      </c>
      <c r="S241" s="19" t="n"/>
      <c r="T241" s="19" t="n"/>
      <c r="U241" s="17">
        <f>IF(O241&lt;&gt;"",240,"")</f>
        <v/>
      </c>
      <c r="V241" s="18">
        <f>IF(O241&lt;&gt;"",V240+O241,V240)</f>
        <v/>
      </c>
    </row>
    <row r="242">
      <c r="A242" s="8" t="n"/>
      <c r="B242" s="9" t="n"/>
      <c r="C242" s="8" t="n"/>
      <c r="D242" s="8" t="n"/>
      <c r="E242" s="8" t="n"/>
      <c r="F242" s="10" t="n"/>
      <c r="G242" s="10" t="n"/>
      <c r="H242" s="10" t="n"/>
      <c r="I242" s="11" t="n"/>
      <c r="J242" s="10">
        <f>IFERROR(IF(AND(F242&lt;&gt;"",G242&lt;&gt;"",I242&lt;&gt;""),ABS(F242-G242)*I242,""),"")</f>
        <v/>
      </c>
      <c r="K242" s="12">
        <f>IFERROR(IF(AND(F242&lt;&gt;"",G242&lt;&gt;"",H242&lt;&gt;""),ABS(H242-F242)/ABS(F242-G242),""),"")</f>
        <v/>
      </c>
      <c r="L242" s="9" t="n"/>
      <c r="M242" s="10" t="n"/>
      <c r="N242" s="10" t="n"/>
      <c r="O242" s="13">
        <f>IFERROR(IF(AND(M242&lt;&gt;"",F242&lt;&gt;"",I242&lt;&gt;""),IF(D242="Long",(M242-F242)*I242-IF(N242&lt;&gt;"",N242,0),IF(D242="Short",(F242-M242)*I242-IF(N242&lt;&gt;"",N242,0),"")),""),"")</f>
        <v/>
      </c>
      <c r="P242" s="14">
        <f>IFERROR(IF(AND(O242&lt;&gt;"",F242&lt;&gt;"",I242&lt;&gt;""),O242/(F242*I242),""),"")</f>
        <v/>
      </c>
      <c r="Q242" s="15">
        <f>IFERROR(IF(AND(O242&lt;&gt;"",J242&lt;&gt;"",J242&lt;&gt;0),O242/J242,""),"")</f>
        <v/>
      </c>
      <c r="R242" s="16">
        <f>IFERROR(IF(AND(L242&lt;&gt;"",B242&lt;&gt;""),L242-B242,""),"")</f>
        <v/>
      </c>
      <c r="S242" s="8" t="n"/>
      <c r="T242" s="8" t="n"/>
      <c r="U242" s="17">
        <f>IF(O242&lt;&gt;"",241,"")</f>
        <v/>
      </c>
      <c r="V242" s="18">
        <f>IF(O242&lt;&gt;"",V241+O242,V241)</f>
        <v/>
      </c>
    </row>
    <row r="243">
      <c r="A243" s="19" t="n"/>
      <c r="B243" s="20" t="n"/>
      <c r="C243" s="19" t="n"/>
      <c r="D243" s="19" t="n"/>
      <c r="E243" s="19" t="n"/>
      <c r="F243" s="21" t="n"/>
      <c r="G243" s="21" t="n"/>
      <c r="H243" s="21" t="n"/>
      <c r="I243" s="22" t="n"/>
      <c r="J243" s="21">
        <f>IFERROR(IF(AND(F243&lt;&gt;"",G243&lt;&gt;"",I243&lt;&gt;""),ABS(F243-G243)*I243,""),"")</f>
        <v/>
      </c>
      <c r="K243" s="23">
        <f>IFERROR(IF(AND(F243&lt;&gt;"",G243&lt;&gt;"",H243&lt;&gt;""),ABS(H243-F243)/ABS(F243-G243),""),"")</f>
        <v/>
      </c>
      <c r="L243" s="20" t="n"/>
      <c r="M243" s="21" t="n"/>
      <c r="N243" s="21" t="n"/>
      <c r="O243" s="24">
        <f>IFERROR(IF(AND(M243&lt;&gt;"",F243&lt;&gt;"",I243&lt;&gt;""),IF(D243="Long",(M243-F243)*I243-IF(N243&lt;&gt;"",N243,0),IF(D243="Short",(F243-M243)*I243-IF(N243&lt;&gt;"",N243,0),"")),""),"")</f>
        <v/>
      </c>
      <c r="P243" s="25">
        <f>IFERROR(IF(AND(O243&lt;&gt;"",F243&lt;&gt;"",I243&lt;&gt;""),O243/(F243*I243),""),"")</f>
        <v/>
      </c>
      <c r="Q243" s="26">
        <f>IFERROR(IF(AND(O243&lt;&gt;"",J243&lt;&gt;"",J243&lt;&gt;0),O243/J243,""),"")</f>
        <v/>
      </c>
      <c r="R243" s="27">
        <f>IFERROR(IF(AND(L243&lt;&gt;"",B243&lt;&gt;""),L243-B243,""),"")</f>
        <v/>
      </c>
      <c r="S243" s="19" t="n"/>
      <c r="T243" s="19" t="n"/>
      <c r="U243" s="17">
        <f>IF(O243&lt;&gt;"",242,"")</f>
        <v/>
      </c>
      <c r="V243" s="18">
        <f>IF(O243&lt;&gt;"",V242+O243,V242)</f>
        <v/>
      </c>
    </row>
    <row r="244">
      <c r="A244" s="8" t="n"/>
      <c r="B244" s="9" t="n"/>
      <c r="C244" s="8" t="n"/>
      <c r="D244" s="8" t="n"/>
      <c r="E244" s="8" t="n"/>
      <c r="F244" s="10" t="n"/>
      <c r="G244" s="10" t="n"/>
      <c r="H244" s="10" t="n"/>
      <c r="I244" s="11" t="n"/>
      <c r="J244" s="10">
        <f>IFERROR(IF(AND(F244&lt;&gt;"",G244&lt;&gt;"",I244&lt;&gt;""),ABS(F244-G244)*I244,""),"")</f>
        <v/>
      </c>
      <c r="K244" s="12">
        <f>IFERROR(IF(AND(F244&lt;&gt;"",G244&lt;&gt;"",H244&lt;&gt;""),ABS(H244-F244)/ABS(F244-G244),""),"")</f>
        <v/>
      </c>
      <c r="L244" s="9" t="n"/>
      <c r="M244" s="10" t="n"/>
      <c r="N244" s="10" t="n"/>
      <c r="O244" s="13">
        <f>IFERROR(IF(AND(M244&lt;&gt;"",F244&lt;&gt;"",I244&lt;&gt;""),IF(D244="Long",(M244-F244)*I244-IF(N244&lt;&gt;"",N244,0),IF(D244="Short",(F244-M244)*I244-IF(N244&lt;&gt;"",N244,0),"")),""),"")</f>
        <v/>
      </c>
      <c r="P244" s="14">
        <f>IFERROR(IF(AND(O244&lt;&gt;"",F244&lt;&gt;"",I244&lt;&gt;""),O244/(F244*I244),""),"")</f>
        <v/>
      </c>
      <c r="Q244" s="15">
        <f>IFERROR(IF(AND(O244&lt;&gt;"",J244&lt;&gt;"",J244&lt;&gt;0),O244/J244,""),"")</f>
        <v/>
      </c>
      <c r="R244" s="16">
        <f>IFERROR(IF(AND(L244&lt;&gt;"",B244&lt;&gt;""),L244-B244,""),"")</f>
        <v/>
      </c>
      <c r="S244" s="8" t="n"/>
      <c r="T244" s="8" t="n"/>
      <c r="U244" s="17">
        <f>IF(O244&lt;&gt;"",243,"")</f>
        <v/>
      </c>
      <c r="V244" s="18">
        <f>IF(O244&lt;&gt;"",V243+O244,V243)</f>
        <v/>
      </c>
    </row>
    <row r="245">
      <c r="A245" s="19" t="n"/>
      <c r="B245" s="20" t="n"/>
      <c r="C245" s="19" t="n"/>
      <c r="D245" s="19" t="n"/>
      <c r="E245" s="19" t="n"/>
      <c r="F245" s="21" t="n"/>
      <c r="G245" s="21" t="n"/>
      <c r="H245" s="21" t="n"/>
      <c r="I245" s="22" t="n"/>
      <c r="J245" s="21">
        <f>IFERROR(IF(AND(F245&lt;&gt;"",G245&lt;&gt;"",I245&lt;&gt;""),ABS(F245-G245)*I245,""),"")</f>
        <v/>
      </c>
      <c r="K245" s="23">
        <f>IFERROR(IF(AND(F245&lt;&gt;"",G245&lt;&gt;"",H245&lt;&gt;""),ABS(H245-F245)/ABS(F245-G245),""),"")</f>
        <v/>
      </c>
      <c r="L245" s="20" t="n"/>
      <c r="M245" s="21" t="n"/>
      <c r="N245" s="21" t="n"/>
      <c r="O245" s="24">
        <f>IFERROR(IF(AND(M245&lt;&gt;"",F245&lt;&gt;"",I245&lt;&gt;""),IF(D245="Long",(M245-F245)*I245-IF(N245&lt;&gt;"",N245,0),IF(D245="Short",(F245-M245)*I245-IF(N245&lt;&gt;"",N245,0),"")),""),"")</f>
        <v/>
      </c>
      <c r="P245" s="25">
        <f>IFERROR(IF(AND(O245&lt;&gt;"",F245&lt;&gt;"",I245&lt;&gt;""),O245/(F245*I245),""),"")</f>
        <v/>
      </c>
      <c r="Q245" s="26">
        <f>IFERROR(IF(AND(O245&lt;&gt;"",J245&lt;&gt;"",J245&lt;&gt;0),O245/J245,""),"")</f>
        <v/>
      </c>
      <c r="R245" s="27">
        <f>IFERROR(IF(AND(L245&lt;&gt;"",B245&lt;&gt;""),L245-B245,""),"")</f>
        <v/>
      </c>
      <c r="S245" s="19" t="n"/>
      <c r="T245" s="19" t="n"/>
      <c r="U245" s="17">
        <f>IF(O245&lt;&gt;"",244,"")</f>
        <v/>
      </c>
      <c r="V245" s="18">
        <f>IF(O245&lt;&gt;"",V244+O245,V244)</f>
        <v/>
      </c>
    </row>
    <row r="246">
      <c r="A246" s="8" t="n"/>
      <c r="B246" s="9" t="n"/>
      <c r="C246" s="8" t="n"/>
      <c r="D246" s="8" t="n"/>
      <c r="E246" s="8" t="n"/>
      <c r="F246" s="10" t="n"/>
      <c r="G246" s="10" t="n"/>
      <c r="H246" s="10" t="n"/>
      <c r="I246" s="11" t="n"/>
      <c r="J246" s="10">
        <f>IFERROR(IF(AND(F246&lt;&gt;"",G246&lt;&gt;"",I246&lt;&gt;""),ABS(F246-G246)*I246,""),"")</f>
        <v/>
      </c>
      <c r="K246" s="12">
        <f>IFERROR(IF(AND(F246&lt;&gt;"",G246&lt;&gt;"",H246&lt;&gt;""),ABS(H246-F246)/ABS(F246-G246),""),"")</f>
        <v/>
      </c>
      <c r="L246" s="9" t="n"/>
      <c r="M246" s="10" t="n"/>
      <c r="N246" s="10" t="n"/>
      <c r="O246" s="13">
        <f>IFERROR(IF(AND(M246&lt;&gt;"",F246&lt;&gt;"",I246&lt;&gt;""),IF(D246="Long",(M246-F246)*I246-IF(N246&lt;&gt;"",N246,0),IF(D246="Short",(F246-M246)*I246-IF(N246&lt;&gt;"",N246,0),"")),""),"")</f>
        <v/>
      </c>
      <c r="P246" s="14">
        <f>IFERROR(IF(AND(O246&lt;&gt;"",F246&lt;&gt;"",I246&lt;&gt;""),O246/(F246*I246),""),"")</f>
        <v/>
      </c>
      <c r="Q246" s="15">
        <f>IFERROR(IF(AND(O246&lt;&gt;"",J246&lt;&gt;"",J246&lt;&gt;0),O246/J246,""),"")</f>
        <v/>
      </c>
      <c r="R246" s="16">
        <f>IFERROR(IF(AND(L246&lt;&gt;"",B246&lt;&gt;""),L246-B246,""),"")</f>
        <v/>
      </c>
      <c r="S246" s="8" t="n"/>
      <c r="T246" s="8" t="n"/>
      <c r="U246" s="17">
        <f>IF(O246&lt;&gt;"",245,"")</f>
        <v/>
      </c>
      <c r="V246" s="18">
        <f>IF(O246&lt;&gt;"",V245+O246,V245)</f>
        <v/>
      </c>
    </row>
    <row r="247">
      <c r="A247" s="19" t="n"/>
      <c r="B247" s="20" t="n"/>
      <c r="C247" s="19" t="n"/>
      <c r="D247" s="19" t="n"/>
      <c r="E247" s="19" t="n"/>
      <c r="F247" s="21" t="n"/>
      <c r="G247" s="21" t="n"/>
      <c r="H247" s="21" t="n"/>
      <c r="I247" s="22" t="n"/>
      <c r="J247" s="21">
        <f>IFERROR(IF(AND(F247&lt;&gt;"",G247&lt;&gt;"",I247&lt;&gt;""),ABS(F247-G247)*I247,""),"")</f>
        <v/>
      </c>
      <c r="K247" s="23">
        <f>IFERROR(IF(AND(F247&lt;&gt;"",G247&lt;&gt;"",H247&lt;&gt;""),ABS(H247-F247)/ABS(F247-G247),""),"")</f>
        <v/>
      </c>
      <c r="L247" s="20" t="n"/>
      <c r="M247" s="21" t="n"/>
      <c r="N247" s="21" t="n"/>
      <c r="O247" s="24">
        <f>IFERROR(IF(AND(M247&lt;&gt;"",F247&lt;&gt;"",I247&lt;&gt;""),IF(D247="Long",(M247-F247)*I247-IF(N247&lt;&gt;"",N247,0),IF(D247="Short",(F247-M247)*I247-IF(N247&lt;&gt;"",N247,0),"")),""),"")</f>
        <v/>
      </c>
      <c r="P247" s="25">
        <f>IFERROR(IF(AND(O247&lt;&gt;"",F247&lt;&gt;"",I247&lt;&gt;""),O247/(F247*I247),""),"")</f>
        <v/>
      </c>
      <c r="Q247" s="26">
        <f>IFERROR(IF(AND(O247&lt;&gt;"",J247&lt;&gt;"",J247&lt;&gt;0),O247/J247,""),"")</f>
        <v/>
      </c>
      <c r="R247" s="27">
        <f>IFERROR(IF(AND(L247&lt;&gt;"",B247&lt;&gt;""),L247-B247,""),"")</f>
        <v/>
      </c>
      <c r="S247" s="19" t="n"/>
      <c r="T247" s="19" t="n"/>
      <c r="U247" s="17">
        <f>IF(O247&lt;&gt;"",246,"")</f>
        <v/>
      </c>
      <c r="V247" s="18">
        <f>IF(O247&lt;&gt;"",V246+O247,V246)</f>
        <v/>
      </c>
    </row>
    <row r="248">
      <c r="A248" s="8" t="n"/>
      <c r="B248" s="9" t="n"/>
      <c r="C248" s="8" t="n"/>
      <c r="D248" s="8" t="n"/>
      <c r="E248" s="8" t="n"/>
      <c r="F248" s="10" t="n"/>
      <c r="G248" s="10" t="n"/>
      <c r="H248" s="10" t="n"/>
      <c r="I248" s="11" t="n"/>
      <c r="J248" s="10">
        <f>IFERROR(IF(AND(F248&lt;&gt;"",G248&lt;&gt;"",I248&lt;&gt;""),ABS(F248-G248)*I248,""),"")</f>
        <v/>
      </c>
      <c r="K248" s="12">
        <f>IFERROR(IF(AND(F248&lt;&gt;"",G248&lt;&gt;"",H248&lt;&gt;""),ABS(H248-F248)/ABS(F248-G248),""),"")</f>
        <v/>
      </c>
      <c r="L248" s="9" t="n"/>
      <c r="M248" s="10" t="n"/>
      <c r="N248" s="10" t="n"/>
      <c r="O248" s="13">
        <f>IFERROR(IF(AND(M248&lt;&gt;"",F248&lt;&gt;"",I248&lt;&gt;""),IF(D248="Long",(M248-F248)*I248-IF(N248&lt;&gt;"",N248,0),IF(D248="Short",(F248-M248)*I248-IF(N248&lt;&gt;"",N248,0),"")),""),"")</f>
        <v/>
      </c>
      <c r="P248" s="14">
        <f>IFERROR(IF(AND(O248&lt;&gt;"",F248&lt;&gt;"",I248&lt;&gt;""),O248/(F248*I248),""),"")</f>
        <v/>
      </c>
      <c r="Q248" s="15">
        <f>IFERROR(IF(AND(O248&lt;&gt;"",J248&lt;&gt;"",J248&lt;&gt;0),O248/J248,""),"")</f>
        <v/>
      </c>
      <c r="R248" s="16">
        <f>IFERROR(IF(AND(L248&lt;&gt;"",B248&lt;&gt;""),L248-B248,""),"")</f>
        <v/>
      </c>
      <c r="S248" s="8" t="n"/>
      <c r="T248" s="8" t="n"/>
      <c r="U248" s="17">
        <f>IF(O248&lt;&gt;"",247,"")</f>
        <v/>
      </c>
      <c r="V248" s="18">
        <f>IF(O248&lt;&gt;"",V247+O248,V247)</f>
        <v/>
      </c>
    </row>
    <row r="249">
      <c r="A249" s="19" t="n"/>
      <c r="B249" s="20" t="n"/>
      <c r="C249" s="19" t="n"/>
      <c r="D249" s="19" t="n"/>
      <c r="E249" s="19" t="n"/>
      <c r="F249" s="21" t="n"/>
      <c r="G249" s="21" t="n"/>
      <c r="H249" s="21" t="n"/>
      <c r="I249" s="22" t="n"/>
      <c r="J249" s="21">
        <f>IFERROR(IF(AND(F249&lt;&gt;"",G249&lt;&gt;"",I249&lt;&gt;""),ABS(F249-G249)*I249,""),"")</f>
        <v/>
      </c>
      <c r="K249" s="23">
        <f>IFERROR(IF(AND(F249&lt;&gt;"",G249&lt;&gt;"",H249&lt;&gt;""),ABS(H249-F249)/ABS(F249-G249),""),"")</f>
        <v/>
      </c>
      <c r="L249" s="20" t="n"/>
      <c r="M249" s="21" t="n"/>
      <c r="N249" s="21" t="n"/>
      <c r="O249" s="24">
        <f>IFERROR(IF(AND(M249&lt;&gt;"",F249&lt;&gt;"",I249&lt;&gt;""),IF(D249="Long",(M249-F249)*I249-IF(N249&lt;&gt;"",N249,0),IF(D249="Short",(F249-M249)*I249-IF(N249&lt;&gt;"",N249,0),"")),""),"")</f>
        <v/>
      </c>
      <c r="P249" s="25">
        <f>IFERROR(IF(AND(O249&lt;&gt;"",F249&lt;&gt;"",I249&lt;&gt;""),O249/(F249*I249),""),"")</f>
        <v/>
      </c>
      <c r="Q249" s="26">
        <f>IFERROR(IF(AND(O249&lt;&gt;"",J249&lt;&gt;"",J249&lt;&gt;0),O249/J249,""),"")</f>
        <v/>
      </c>
      <c r="R249" s="27">
        <f>IFERROR(IF(AND(L249&lt;&gt;"",B249&lt;&gt;""),L249-B249,""),"")</f>
        <v/>
      </c>
      <c r="S249" s="19" t="n"/>
      <c r="T249" s="19" t="n"/>
      <c r="U249" s="17">
        <f>IF(O249&lt;&gt;"",248,"")</f>
        <v/>
      </c>
      <c r="V249" s="18">
        <f>IF(O249&lt;&gt;"",V248+O249,V248)</f>
        <v/>
      </c>
    </row>
    <row r="250">
      <c r="A250" s="8" t="n"/>
      <c r="B250" s="9" t="n"/>
      <c r="C250" s="8" t="n"/>
      <c r="D250" s="8" t="n"/>
      <c r="E250" s="8" t="n"/>
      <c r="F250" s="10" t="n"/>
      <c r="G250" s="10" t="n"/>
      <c r="H250" s="10" t="n"/>
      <c r="I250" s="11" t="n"/>
      <c r="J250" s="10">
        <f>IFERROR(IF(AND(F250&lt;&gt;"",G250&lt;&gt;"",I250&lt;&gt;""),ABS(F250-G250)*I250,""),"")</f>
        <v/>
      </c>
      <c r="K250" s="12">
        <f>IFERROR(IF(AND(F250&lt;&gt;"",G250&lt;&gt;"",H250&lt;&gt;""),ABS(H250-F250)/ABS(F250-G250),""),"")</f>
        <v/>
      </c>
      <c r="L250" s="9" t="n"/>
      <c r="M250" s="10" t="n"/>
      <c r="N250" s="10" t="n"/>
      <c r="O250" s="13">
        <f>IFERROR(IF(AND(M250&lt;&gt;"",F250&lt;&gt;"",I250&lt;&gt;""),IF(D250="Long",(M250-F250)*I250-IF(N250&lt;&gt;"",N250,0),IF(D250="Short",(F250-M250)*I250-IF(N250&lt;&gt;"",N250,0),"")),""),"")</f>
        <v/>
      </c>
      <c r="P250" s="14">
        <f>IFERROR(IF(AND(O250&lt;&gt;"",F250&lt;&gt;"",I250&lt;&gt;""),O250/(F250*I250),""),"")</f>
        <v/>
      </c>
      <c r="Q250" s="15">
        <f>IFERROR(IF(AND(O250&lt;&gt;"",J250&lt;&gt;"",J250&lt;&gt;0),O250/J250,""),"")</f>
        <v/>
      </c>
      <c r="R250" s="16">
        <f>IFERROR(IF(AND(L250&lt;&gt;"",B250&lt;&gt;""),L250-B250,""),"")</f>
        <v/>
      </c>
      <c r="S250" s="8" t="n"/>
      <c r="T250" s="8" t="n"/>
      <c r="U250" s="17">
        <f>IF(O250&lt;&gt;"",249,"")</f>
        <v/>
      </c>
      <c r="V250" s="18">
        <f>IF(O250&lt;&gt;"",V249+O250,V249)</f>
        <v/>
      </c>
    </row>
    <row r="251">
      <c r="A251" s="19" t="n"/>
      <c r="B251" s="20" t="n"/>
      <c r="C251" s="19" t="n"/>
      <c r="D251" s="19" t="n"/>
      <c r="E251" s="19" t="n"/>
      <c r="F251" s="21" t="n"/>
      <c r="G251" s="21" t="n"/>
      <c r="H251" s="21" t="n"/>
      <c r="I251" s="22" t="n"/>
      <c r="J251" s="21">
        <f>IFERROR(IF(AND(F251&lt;&gt;"",G251&lt;&gt;"",I251&lt;&gt;""),ABS(F251-G251)*I251,""),"")</f>
        <v/>
      </c>
      <c r="K251" s="23">
        <f>IFERROR(IF(AND(F251&lt;&gt;"",G251&lt;&gt;"",H251&lt;&gt;""),ABS(H251-F251)/ABS(F251-G251),""),"")</f>
        <v/>
      </c>
      <c r="L251" s="20" t="n"/>
      <c r="M251" s="21" t="n"/>
      <c r="N251" s="21" t="n"/>
      <c r="O251" s="24">
        <f>IFERROR(IF(AND(M251&lt;&gt;"",F251&lt;&gt;"",I251&lt;&gt;""),IF(D251="Long",(M251-F251)*I251-IF(N251&lt;&gt;"",N251,0),IF(D251="Short",(F251-M251)*I251-IF(N251&lt;&gt;"",N251,0),"")),""),"")</f>
        <v/>
      </c>
      <c r="P251" s="25">
        <f>IFERROR(IF(AND(O251&lt;&gt;"",F251&lt;&gt;"",I251&lt;&gt;""),O251/(F251*I251),""),"")</f>
        <v/>
      </c>
      <c r="Q251" s="26">
        <f>IFERROR(IF(AND(O251&lt;&gt;"",J251&lt;&gt;"",J251&lt;&gt;0),O251/J251,""),"")</f>
        <v/>
      </c>
      <c r="R251" s="27">
        <f>IFERROR(IF(AND(L251&lt;&gt;"",B251&lt;&gt;""),L251-B251,""),"")</f>
        <v/>
      </c>
      <c r="S251" s="19" t="n"/>
      <c r="T251" s="19" t="n"/>
      <c r="U251" s="17">
        <f>IF(O251&lt;&gt;"",250,"")</f>
        <v/>
      </c>
      <c r="V251" s="18">
        <f>IF(O251&lt;&gt;"",V250+O251,V250)</f>
        <v/>
      </c>
    </row>
    <row r="252">
      <c r="A252" s="8" t="n"/>
      <c r="B252" s="9" t="n"/>
      <c r="C252" s="8" t="n"/>
      <c r="D252" s="8" t="n"/>
      <c r="E252" s="8" t="n"/>
      <c r="F252" s="10" t="n"/>
      <c r="G252" s="10" t="n"/>
      <c r="H252" s="10" t="n"/>
      <c r="I252" s="11" t="n"/>
      <c r="J252" s="10">
        <f>IFERROR(IF(AND(F252&lt;&gt;"",G252&lt;&gt;"",I252&lt;&gt;""),ABS(F252-G252)*I252,""),"")</f>
        <v/>
      </c>
      <c r="K252" s="12">
        <f>IFERROR(IF(AND(F252&lt;&gt;"",G252&lt;&gt;"",H252&lt;&gt;""),ABS(H252-F252)/ABS(F252-G252),""),"")</f>
        <v/>
      </c>
      <c r="L252" s="9" t="n"/>
      <c r="M252" s="10" t="n"/>
      <c r="N252" s="10" t="n"/>
      <c r="O252" s="13">
        <f>IFERROR(IF(AND(M252&lt;&gt;"",F252&lt;&gt;"",I252&lt;&gt;""),IF(D252="Long",(M252-F252)*I252-IF(N252&lt;&gt;"",N252,0),IF(D252="Short",(F252-M252)*I252-IF(N252&lt;&gt;"",N252,0),"")),""),"")</f>
        <v/>
      </c>
      <c r="P252" s="14">
        <f>IFERROR(IF(AND(O252&lt;&gt;"",F252&lt;&gt;"",I252&lt;&gt;""),O252/(F252*I252),""),"")</f>
        <v/>
      </c>
      <c r="Q252" s="15">
        <f>IFERROR(IF(AND(O252&lt;&gt;"",J252&lt;&gt;"",J252&lt;&gt;0),O252/J252,""),"")</f>
        <v/>
      </c>
      <c r="R252" s="16">
        <f>IFERROR(IF(AND(L252&lt;&gt;"",B252&lt;&gt;""),L252-B252,""),"")</f>
        <v/>
      </c>
      <c r="S252" s="8" t="n"/>
      <c r="T252" s="8" t="n"/>
      <c r="U252" s="17">
        <f>IF(O252&lt;&gt;"",251,"")</f>
        <v/>
      </c>
      <c r="V252" s="18">
        <f>IF(O252&lt;&gt;"",V251+O252,V251)</f>
        <v/>
      </c>
    </row>
    <row r="253">
      <c r="A253" s="19" t="n"/>
      <c r="B253" s="20" t="n"/>
      <c r="C253" s="19" t="n"/>
      <c r="D253" s="19" t="n"/>
      <c r="E253" s="19" t="n"/>
      <c r="F253" s="21" t="n"/>
      <c r="G253" s="21" t="n"/>
      <c r="H253" s="21" t="n"/>
      <c r="I253" s="22" t="n"/>
      <c r="J253" s="21">
        <f>IFERROR(IF(AND(F253&lt;&gt;"",G253&lt;&gt;"",I253&lt;&gt;""),ABS(F253-G253)*I253,""),"")</f>
        <v/>
      </c>
      <c r="K253" s="23">
        <f>IFERROR(IF(AND(F253&lt;&gt;"",G253&lt;&gt;"",H253&lt;&gt;""),ABS(H253-F253)/ABS(F253-G253),""),"")</f>
        <v/>
      </c>
      <c r="L253" s="20" t="n"/>
      <c r="M253" s="21" t="n"/>
      <c r="N253" s="21" t="n"/>
      <c r="O253" s="24">
        <f>IFERROR(IF(AND(M253&lt;&gt;"",F253&lt;&gt;"",I253&lt;&gt;""),IF(D253="Long",(M253-F253)*I253-IF(N253&lt;&gt;"",N253,0),IF(D253="Short",(F253-M253)*I253-IF(N253&lt;&gt;"",N253,0),"")),""),"")</f>
        <v/>
      </c>
      <c r="P253" s="25">
        <f>IFERROR(IF(AND(O253&lt;&gt;"",F253&lt;&gt;"",I253&lt;&gt;""),O253/(F253*I253),""),"")</f>
        <v/>
      </c>
      <c r="Q253" s="26">
        <f>IFERROR(IF(AND(O253&lt;&gt;"",J253&lt;&gt;"",J253&lt;&gt;0),O253/J253,""),"")</f>
        <v/>
      </c>
      <c r="R253" s="27">
        <f>IFERROR(IF(AND(L253&lt;&gt;"",B253&lt;&gt;""),L253-B253,""),"")</f>
        <v/>
      </c>
      <c r="S253" s="19" t="n"/>
      <c r="T253" s="19" t="n"/>
      <c r="U253" s="17">
        <f>IF(O253&lt;&gt;"",252,"")</f>
        <v/>
      </c>
      <c r="V253" s="18">
        <f>IF(O253&lt;&gt;"",V252+O253,V252)</f>
        <v/>
      </c>
    </row>
    <row r="254">
      <c r="A254" s="8" t="n"/>
      <c r="B254" s="9" t="n"/>
      <c r="C254" s="8" t="n"/>
      <c r="D254" s="8" t="n"/>
      <c r="E254" s="8" t="n"/>
      <c r="F254" s="10" t="n"/>
      <c r="G254" s="10" t="n"/>
      <c r="H254" s="10" t="n"/>
      <c r="I254" s="11" t="n"/>
      <c r="J254" s="10">
        <f>IFERROR(IF(AND(F254&lt;&gt;"",G254&lt;&gt;"",I254&lt;&gt;""),ABS(F254-G254)*I254,""),"")</f>
        <v/>
      </c>
      <c r="K254" s="12">
        <f>IFERROR(IF(AND(F254&lt;&gt;"",G254&lt;&gt;"",H254&lt;&gt;""),ABS(H254-F254)/ABS(F254-G254),""),"")</f>
        <v/>
      </c>
      <c r="L254" s="9" t="n"/>
      <c r="M254" s="10" t="n"/>
      <c r="N254" s="10" t="n"/>
      <c r="O254" s="13">
        <f>IFERROR(IF(AND(M254&lt;&gt;"",F254&lt;&gt;"",I254&lt;&gt;""),IF(D254="Long",(M254-F254)*I254-IF(N254&lt;&gt;"",N254,0),IF(D254="Short",(F254-M254)*I254-IF(N254&lt;&gt;"",N254,0),"")),""),"")</f>
        <v/>
      </c>
      <c r="P254" s="14">
        <f>IFERROR(IF(AND(O254&lt;&gt;"",F254&lt;&gt;"",I254&lt;&gt;""),O254/(F254*I254),""),"")</f>
        <v/>
      </c>
      <c r="Q254" s="15">
        <f>IFERROR(IF(AND(O254&lt;&gt;"",J254&lt;&gt;"",J254&lt;&gt;0),O254/J254,""),"")</f>
        <v/>
      </c>
      <c r="R254" s="16">
        <f>IFERROR(IF(AND(L254&lt;&gt;"",B254&lt;&gt;""),L254-B254,""),"")</f>
        <v/>
      </c>
      <c r="S254" s="8" t="n"/>
      <c r="T254" s="8" t="n"/>
      <c r="U254" s="17">
        <f>IF(O254&lt;&gt;"",253,"")</f>
        <v/>
      </c>
      <c r="V254" s="18">
        <f>IF(O254&lt;&gt;"",V253+O254,V253)</f>
        <v/>
      </c>
    </row>
    <row r="255">
      <c r="A255" s="19" t="n"/>
      <c r="B255" s="20" t="n"/>
      <c r="C255" s="19" t="n"/>
      <c r="D255" s="19" t="n"/>
      <c r="E255" s="19" t="n"/>
      <c r="F255" s="21" t="n"/>
      <c r="G255" s="21" t="n"/>
      <c r="H255" s="21" t="n"/>
      <c r="I255" s="22" t="n"/>
      <c r="J255" s="21">
        <f>IFERROR(IF(AND(F255&lt;&gt;"",G255&lt;&gt;"",I255&lt;&gt;""),ABS(F255-G255)*I255,""),"")</f>
        <v/>
      </c>
      <c r="K255" s="23">
        <f>IFERROR(IF(AND(F255&lt;&gt;"",G255&lt;&gt;"",H255&lt;&gt;""),ABS(H255-F255)/ABS(F255-G255),""),"")</f>
        <v/>
      </c>
      <c r="L255" s="20" t="n"/>
      <c r="M255" s="21" t="n"/>
      <c r="N255" s="21" t="n"/>
      <c r="O255" s="24">
        <f>IFERROR(IF(AND(M255&lt;&gt;"",F255&lt;&gt;"",I255&lt;&gt;""),IF(D255="Long",(M255-F255)*I255-IF(N255&lt;&gt;"",N255,0),IF(D255="Short",(F255-M255)*I255-IF(N255&lt;&gt;"",N255,0),"")),""),"")</f>
        <v/>
      </c>
      <c r="P255" s="25">
        <f>IFERROR(IF(AND(O255&lt;&gt;"",F255&lt;&gt;"",I255&lt;&gt;""),O255/(F255*I255),""),"")</f>
        <v/>
      </c>
      <c r="Q255" s="26">
        <f>IFERROR(IF(AND(O255&lt;&gt;"",J255&lt;&gt;"",J255&lt;&gt;0),O255/J255,""),"")</f>
        <v/>
      </c>
      <c r="R255" s="27">
        <f>IFERROR(IF(AND(L255&lt;&gt;"",B255&lt;&gt;""),L255-B255,""),"")</f>
        <v/>
      </c>
      <c r="S255" s="19" t="n"/>
      <c r="T255" s="19" t="n"/>
      <c r="U255" s="17">
        <f>IF(O255&lt;&gt;"",254,"")</f>
        <v/>
      </c>
      <c r="V255" s="18">
        <f>IF(O255&lt;&gt;"",V254+O255,V254)</f>
        <v/>
      </c>
    </row>
    <row r="256">
      <c r="A256" s="8" t="n"/>
      <c r="B256" s="9" t="n"/>
      <c r="C256" s="8" t="n"/>
      <c r="D256" s="8" t="n"/>
      <c r="E256" s="8" t="n"/>
      <c r="F256" s="10" t="n"/>
      <c r="G256" s="10" t="n"/>
      <c r="H256" s="10" t="n"/>
      <c r="I256" s="11" t="n"/>
      <c r="J256" s="10">
        <f>IFERROR(IF(AND(F256&lt;&gt;"",G256&lt;&gt;"",I256&lt;&gt;""),ABS(F256-G256)*I256,""),"")</f>
        <v/>
      </c>
      <c r="K256" s="12">
        <f>IFERROR(IF(AND(F256&lt;&gt;"",G256&lt;&gt;"",H256&lt;&gt;""),ABS(H256-F256)/ABS(F256-G256),""),"")</f>
        <v/>
      </c>
      <c r="L256" s="9" t="n"/>
      <c r="M256" s="10" t="n"/>
      <c r="N256" s="10" t="n"/>
      <c r="O256" s="13">
        <f>IFERROR(IF(AND(M256&lt;&gt;"",F256&lt;&gt;"",I256&lt;&gt;""),IF(D256="Long",(M256-F256)*I256-IF(N256&lt;&gt;"",N256,0),IF(D256="Short",(F256-M256)*I256-IF(N256&lt;&gt;"",N256,0),"")),""),"")</f>
        <v/>
      </c>
      <c r="P256" s="14">
        <f>IFERROR(IF(AND(O256&lt;&gt;"",F256&lt;&gt;"",I256&lt;&gt;""),O256/(F256*I256),""),"")</f>
        <v/>
      </c>
      <c r="Q256" s="15">
        <f>IFERROR(IF(AND(O256&lt;&gt;"",J256&lt;&gt;"",J256&lt;&gt;0),O256/J256,""),"")</f>
        <v/>
      </c>
      <c r="R256" s="16">
        <f>IFERROR(IF(AND(L256&lt;&gt;"",B256&lt;&gt;""),L256-B256,""),"")</f>
        <v/>
      </c>
      <c r="S256" s="8" t="n"/>
      <c r="T256" s="8" t="n"/>
      <c r="U256" s="17">
        <f>IF(O256&lt;&gt;"",255,"")</f>
        <v/>
      </c>
      <c r="V256" s="18">
        <f>IF(O256&lt;&gt;"",V255+O256,V255)</f>
        <v/>
      </c>
    </row>
    <row r="257">
      <c r="A257" s="19" t="n"/>
      <c r="B257" s="20" t="n"/>
      <c r="C257" s="19" t="n"/>
      <c r="D257" s="19" t="n"/>
      <c r="E257" s="19" t="n"/>
      <c r="F257" s="21" t="n"/>
      <c r="G257" s="21" t="n"/>
      <c r="H257" s="21" t="n"/>
      <c r="I257" s="22" t="n"/>
      <c r="J257" s="21">
        <f>IFERROR(IF(AND(F257&lt;&gt;"",G257&lt;&gt;"",I257&lt;&gt;""),ABS(F257-G257)*I257,""),"")</f>
        <v/>
      </c>
      <c r="K257" s="23">
        <f>IFERROR(IF(AND(F257&lt;&gt;"",G257&lt;&gt;"",H257&lt;&gt;""),ABS(H257-F257)/ABS(F257-G257),""),"")</f>
        <v/>
      </c>
      <c r="L257" s="20" t="n"/>
      <c r="M257" s="21" t="n"/>
      <c r="N257" s="21" t="n"/>
      <c r="O257" s="24">
        <f>IFERROR(IF(AND(M257&lt;&gt;"",F257&lt;&gt;"",I257&lt;&gt;""),IF(D257="Long",(M257-F257)*I257-IF(N257&lt;&gt;"",N257,0),IF(D257="Short",(F257-M257)*I257-IF(N257&lt;&gt;"",N257,0),"")),""),"")</f>
        <v/>
      </c>
      <c r="P257" s="25">
        <f>IFERROR(IF(AND(O257&lt;&gt;"",F257&lt;&gt;"",I257&lt;&gt;""),O257/(F257*I257),""),"")</f>
        <v/>
      </c>
      <c r="Q257" s="26">
        <f>IFERROR(IF(AND(O257&lt;&gt;"",J257&lt;&gt;"",J257&lt;&gt;0),O257/J257,""),"")</f>
        <v/>
      </c>
      <c r="R257" s="27">
        <f>IFERROR(IF(AND(L257&lt;&gt;"",B257&lt;&gt;""),L257-B257,""),"")</f>
        <v/>
      </c>
      <c r="S257" s="19" t="n"/>
      <c r="T257" s="19" t="n"/>
      <c r="U257" s="17">
        <f>IF(O257&lt;&gt;"",256,"")</f>
        <v/>
      </c>
      <c r="V257" s="18">
        <f>IF(O257&lt;&gt;"",V256+O257,V256)</f>
        <v/>
      </c>
    </row>
    <row r="258">
      <c r="A258" s="8" t="n"/>
      <c r="B258" s="9" t="n"/>
      <c r="C258" s="8" t="n"/>
      <c r="D258" s="8" t="n"/>
      <c r="E258" s="8" t="n"/>
      <c r="F258" s="10" t="n"/>
      <c r="G258" s="10" t="n"/>
      <c r="H258" s="10" t="n"/>
      <c r="I258" s="11" t="n"/>
      <c r="J258" s="10">
        <f>IFERROR(IF(AND(F258&lt;&gt;"",G258&lt;&gt;"",I258&lt;&gt;""),ABS(F258-G258)*I258,""),"")</f>
        <v/>
      </c>
      <c r="K258" s="12">
        <f>IFERROR(IF(AND(F258&lt;&gt;"",G258&lt;&gt;"",H258&lt;&gt;""),ABS(H258-F258)/ABS(F258-G258),""),"")</f>
        <v/>
      </c>
      <c r="L258" s="9" t="n"/>
      <c r="M258" s="10" t="n"/>
      <c r="N258" s="10" t="n"/>
      <c r="O258" s="13">
        <f>IFERROR(IF(AND(M258&lt;&gt;"",F258&lt;&gt;"",I258&lt;&gt;""),IF(D258="Long",(M258-F258)*I258-IF(N258&lt;&gt;"",N258,0),IF(D258="Short",(F258-M258)*I258-IF(N258&lt;&gt;"",N258,0),"")),""),"")</f>
        <v/>
      </c>
      <c r="P258" s="14">
        <f>IFERROR(IF(AND(O258&lt;&gt;"",F258&lt;&gt;"",I258&lt;&gt;""),O258/(F258*I258),""),"")</f>
        <v/>
      </c>
      <c r="Q258" s="15">
        <f>IFERROR(IF(AND(O258&lt;&gt;"",J258&lt;&gt;"",J258&lt;&gt;0),O258/J258,""),"")</f>
        <v/>
      </c>
      <c r="R258" s="16">
        <f>IFERROR(IF(AND(L258&lt;&gt;"",B258&lt;&gt;""),L258-B258,""),"")</f>
        <v/>
      </c>
      <c r="S258" s="8" t="n"/>
      <c r="T258" s="8" t="n"/>
      <c r="U258" s="17">
        <f>IF(O258&lt;&gt;"",257,"")</f>
        <v/>
      </c>
      <c r="V258" s="18">
        <f>IF(O258&lt;&gt;"",V257+O258,V257)</f>
        <v/>
      </c>
    </row>
    <row r="259">
      <c r="A259" s="19" t="n"/>
      <c r="B259" s="20" t="n"/>
      <c r="C259" s="19" t="n"/>
      <c r="D259" s="19" t="n"/>
      <c r="E259" s="19" t="n"/>
      <c r="F259" s="21" t="n"/>
      <c r="G259" s="21" t="n"/>
      <c r="H259" s="21" t="n"/>
      <c r="I259" s="22" t="n"/>
      <c r="J259" s="21">
        <f>IFERROR(IF(AND(F259&lt;&gt;"",G259&lt;&gt;"",I259&lt;&gt;""),ABS(F259-G259)*I259,""),"")</f>
        <v/>
      </c>
      <c r="K259" s="23">
        <f>IFERROR(IF(AND(F259&lt;&gt;"",G259&lt;&gt;"",H259&lt;&gt;""),ABS(H259-F259)/ABS(F259-G259),""),"")</f>
        <v/>
      </c>
      <c r="L259" s="20" t="n"/>
      <c r="M259" s="21" t="n"/>
      <c r="N259" s="21" t="n"/>
      <c r="O259" s="24">
        <f>IFERROR(IF(AND(M259&lt;&gt;"",F259&lt;&gt;"",I259&lt;&gt;""),IF(D259="Long",(M259-F259)*I259-IF(N259&lt;&gt;"",N259,0),IF(D259="Short",(F259-M259)*I259-IF(N259&lt;&gt;"",N259,0),"")),""),"")</f>
        <v/>
      </c>
      <c r="P259" s="25">
        <f>IFERROR(IF(AND(O259&lt;&gt;"",F259&lt;&gt;"",I259&lt;&gt;""),O259/(F259*I259),""),"")</f>
        <v/>
      </c>
      <c r="Q259" s="26">
        <f>IFERROR(IF(AND(O259&lt;&gt;"",J259&lt;&gt;"",J259&lt;&gt;0),O259/J259,""),"")</f>
        <v/>
      </c>
      <c r="R259" s="27">
        <f>IFERROR(IF(AND(L259&lt;&gt;"",B259&lt;&gt;""),L259-B259,""),"")</f>
        <v/>
      </c>
      <c r="S259" s="19" t="n"/>
      <c r="T259" s="19" t="n"/>
      <c r="U259" s="17">
        <f>IF(O259&lt;&gt;"",258,"")</f>
        <v/>
      </c>
      <c r="V259" s="18">
        <f>IF(O259&lt;&gt;"",V258+O259,V258)</f>
        <v/>
      </c>
    </row>
    <row r="260">
      <c r="A260" s="8" t="n"/>
      <c r="B260" s="9" t="n"/>
      <c r="C260" s="8" t="n"/>
      <c r="D260" s="8" t="n"/>
      <c r="E260" s="8" t="n"/>
      <c r="F260" s="10" t="n"/>
      <c r="G260" s="10" t="n"/>
      <c r="H260" s="10" t="n"/>
      <c r="I260" s="11" t="n"/>
      <c r="J260" s="10">
        <f>IFERROR(IF(AND(F260&lt;&gt;"",G260&lt;&gt;"",I260&lt;&gt;""),ABS(F260-G260)*I260,""),"")</f>
        <v/>
      </c>
      <c r="K260" s="12">
        <f>IFERROR(IF(AND(F260&lt;&gt;"",G260&lt;&gt;"",H260&lt;&gt;""),ABS(H260-F260)/ABS(F260-G260),""),"")</f>
        <v/>
      </c>
      <c r="L260" s="9" t="n"/>
      <c r="M260" s="10" t="n"/>
      <c r="N260" s="10" t="n"/>
      <c r="O260" s="13">
        <f>IFERROR(IF(AND(M260&lt;&gt;"",F260&lt;&gt;"",I260&lt;&gt;""),IF(D260="Long",(M260-F260)*I260-IF(N260&lt;&gt;"",N260,0),IF(D260="Short",(F260-M260)*I260-IF(N260&lt;&gt;"",N260,0),"")),""),"")</f>
        <v/>
      </c>
      <c r="P260" s="14">
        <f>IFERROR(IF(AND(O260&lt;&gt;"",F260&lt;&gt;"",I260&lt;&gt;""),O260/(F260*I260),""),"")</f>
        <v/>
      </c>
      <c r="Q260" s="15">
        <f>IFERROR(IF(AND(O260&lt;&gt;"",J260&lt;&gt;"",J260&lt;&gt;0),O260/J260,""),"")</f>
        <v/>
      </c>
      <c r="R260" s="16">
        <f>IFERROR(IF(AND(L260&lt;&gt;"",B260&lt;&gt;""),L260-B260,""),"")</f>
        <v/>
      </c>
      <c r="S260" s="8" t="n"/>
      <c r="T260" s="8" t="n"/>
      <c r="U260" s="17">
        <f>IF(O260&lt;&gt;"",259,"")</f>
        <v/>
      </c>
      <c r="V260" s="18">
        <f>IF(O260&lt;&gt;"",V259+O260,V259)</f>
        <v/>
      </c>
    </row>
    <row r="261">
      <c r="A261" s="19" t="n"/>
      <c r="B261" s="20" t="n"/>
      <c r="C261" s="19" t="n"/>
      <c r="D261" s="19" t="n"/>
      <c r="E261" s="19" t="n"/>
      <c r="F261" s="21" t="n"/>
      <c r="G261" s="21" t="n"/>
      <c r="H261" s="21" t="n"/>
      <c r="I261" s="22" t="n"/>
      <c r="J261" s="21">
        <f>IFERROR(IF(AND(F261&lt;&gt;"",G261&lt;&gt;"",I261&lt;&gt;""),ABS(F261-G261)*I261,""),"")</f>
        <v/>
      </c>
      <c r="K261" s="23">
        <f>IFERROR(IF(AND(F261&lt;&gt;"",G261&lt;&gt;"",H261&lt;&gt;""),ABS(H261-F261)/ABS(F261-G261),""),"")</f>
        <v/>
      </c>
      <c r="L261" s="20" t="n"/>
      <c r="M261" s="21" t="n"/>
      <c r="N261" s="21" t="n"/>
      <c r="O261" s="24">
        <f>IFERROR(IF(AND(M261&lt;&gt;"",F261&lt;&gt;"",I261&lt;&gt;""),IF(D261="Long",(M261-F261)*I261-IF(N261&lt;&gt;"",N261,0),IF(D261="Short",(F261-M261)*I261-IF(N261&lt;&gt;"",N261,0),"")),""),"")</f>
        <v/>
      </c>
      <c r="P261" s="25">
        <f>IFERROR(IF(AND(O261&lt;&gt;"",F261&lt;&gt;"",I261&lt;&gt;""),O261/(F261*I261),""),"")</f>
        <v/>
      </c>
      <c r="Q261" s="26">
        <f>IFERROR(IF(AND(O261&lt;&gt;"",J261&lt;&gt;"",J261&lt;&gt;0),O261/J261,""),"")</f>
        <v/>
      </c>
      <c r="R261" s="27">
        <f>IFERROR(IF(AND(L261&lt;&gt;"",B261&lt;&gt;""),L261-B261,""),"")</f>
        <v/>
      </c>
      <c r="S261" s="19" t="n"/>
      <c r="T261" s="19" t="n"/>
      <c r="U261" s="17">
        <f>IF(O261&lt;&gt;"",260,"")</f>
        <v/>
      </c>
      <c r="V261" s="18">
        <f>IF(O261&lt;&gt;"",V260+O261,V260)</f>
        <v/>
      </c>
    </row>
    <row r="262">
      <c r="A262" s="8" t="n"/>
      <c r="B262" s="9" t="n"/>
      <c r="C262" s="8" t="n"/>
      <c r="D262" s="8" t="n"/>
      <c r="E262" s="8" t="n"/>
      <c r="F262" s="10" t="n"/>
      <c r="G262" s="10" t="n"/>
      <c r="H262" s="10" t="n"/>
      <c r="I262" s="11" t="n"/>
      <c r="J262" s="10">
        <f>IFERROR(IF(AND(F262&lt;&gt;"",G262&lt;&gt;"",I262&lt;&gt;""),ABS(F262-G262)*I262,""),"")</f>
        <v/>
      </c>
      <c r="K262" s="12">
        <f>IFERROR(IF(AND(F262&lt;&gt;"",G262&lt;&gt;"",H262&lt;&gt;""),ABS(H262-F262)/ABS(F262-G262),""),"")</f>
        <v/>
      </c>
      <c r="L262" s="9" t="n"/>
      <c r="M262" s="10" t="n"/>
      <c r="N262" s="10" t="n"/>
      <c r="O262" s="13">
        <f>IFERROR(IF(AND(M262&lt;&gt;"",F262&lt;&gt;"",I262&lt;&gt;""),IF(D262="Long",(M262-F262)*I262-IF(N262&lt;&gt;"",N262,0),IF(D262="Short",(F262-M262)*I262-IF(N262&lt;&gt;"",N262,0),"")),""),"")</f>
        <v/>
      </c>
      <c r="P262" s="14">
        <f>IFERROR(IF(AND(O262&lt;&gt;"",F262&lt;&gt;"",I262&lt;&gt;""),O262/(F262*I262),""),"")</f>
        <v/>
      </c>
      <c r="Q262" s="15">
        <f>IFERROR(IF(AND(O262&lt;&gt;"",J262&lt;&gt;"",J262&lt;&gt;0),O262/J262,""),"")</f>
        <v/>
      </c>
      <c r="R262" s="16">
        <f>IFERROR(IF(AND(L262&lt;&gt;"",B262&lt;&gt;""),L262-B262,""),"")</f>
        <v/>
      </c>
      <c r="S262" s="8" t="n"/>
      <c r="T262" s="8" t="n"/>
      <c r="U262" s="17">
        <f>IF(O262&lt;&gt;"",261,"")</f>
        <v/>
      </c>
      <c r="V262" s="18">
        <f>IF(O262&lt;&gt;"",V261+O262,V261)</f>
        <v/>
      </c>
    </row>
    <row r="263">
      <c r="A263" s="19" t="n"/>
      <c r="B263" s="20" t="n"/>
      <c r="C263" s="19" t="n"/>
      <c r="D263" s="19" t="n"/>
      <c r="E263" s="19" t="n"/>
      <c r="F263" s="21" t="n"/>
      <c r="G263" s="21" t="n"/>
      <c r="H263" s="21" t="n"/>
      <c r="I263" s="22" t="n"/>
      <c r="J263" s="21">
        <f>IFERROR(IF(AND(F263&lt;&gt;"",G263&lt;&gt;"",I263&lt;&gt;""),ABS(F263-G263)*I263,""),"")</f>
        <v/>
      </c>
      <c r="K263" s="23">
        <f>IFERROR(IF(AND(F263&lt;&gt;"",G263&lt;&gt;"",H263&lt;&gt;""),ABS(H263-F263)/ABS(F263-G263),""),"")</f>
        <v/>
      </c>
      <c r="L263" s="20" t="n"/>
      <c r="M263" s="21" t="n"/>
      <c r="N263" s="21" t="n"/>
      <c r="O263" s="24">
        <f>IFERROR(IF(AND(M263&lt;&gt;"",F263&lt;&gt;"",I263&lt;&gt;""),IF(D263="Long",(M263-F263)*I263-IF(N263&lt;&gt;"",N263,0),IF(D263="Short",(F263-M263)*I263-IF(N263&lt;&gt;"",N263,0),"")),""),"")</f>
        <v/>
      </c>
      <c r="P263" s="25">
        <f>IFERROR(IF(AND(O263&lt;&gt;"",F263&lt;&gt;"",I263&lt;&gt;""),O263/(F263*I263),""),"")</f>
        <v/>
      </c>
      <c r="Q263" s="26">
        <f>IFERROR(IF(AND(O263&lt;&gt;"",J263&lt;&gt;"",J263&lt;&gt;0),O263/J263,""),"")</f>
        <v/>
      </c>
      <c r="R263" s="27">
        <f>IFERROR(IF(AND(L263&lt;&gt;"",B263&lt;&gt;""),L263-B263,""),"")</f>
        <v/>
      </c>
      <c r="S263" s="19" t="n"/>
      <c r="T263" s="19" t="n"/>
      <c r="U263" s="17">
        <f>IF(O263&lt;&gt;"",262,"")</f>
        <v/>
      </c>
      <c r="V263" s="18">
        <f>IF(O263&lt;&gt;"",V262+O263,V262)</f>
        <v/>
      </c>
    </row>
    <row r="264">
      <c r="A264" s="8" t="n"/>
      <c r="B264" s="9" t="n"/>
      <c r="C264" s="8" t="n"/>
      <c r="D264" s="8" t="n"/>
      <c r="E264" s="8" t="n"/>
      <c r="F264" s="10" t="n"/>
      <c r="G264" s="10" t="n"/>
      <c r="H264" s="10" t="n"/>
      <c r="I264" s="11" t="n"/>
      <c r="J264" s="10">
        <f>IFERROR(IF(AND(F264&lt;&gt;"",G264&lt;&gt;"",I264&lt;&gt;""),ABS(F264-G264)*I264,""),"")</f>
        <v/>
      </c>
      <c r="K264" s="12">
        <f>IFERROR(IF(AND(F264&lt;&gt;"",G264&lt;&gt;"",H264&lt;&gt;""),ABS(H264-F264)/ABS(F264-G264),""),"")</f>
        <v/>
      </c>
      <c r="L264" s="9" t="n"/>
      <c r="M264" s="10" t="n"/>
      <c r="N264" s="10" t="n"/>
      <c r="O264" s="13">
        <f>IFERROR(IF(AND(M264&lt;&gt;"",F264&lt;&gt;"",I264&lt;&gt;""),IF(D264="Long",(M264-F264)*I264-IF(N264&lt;&gt;"",N264,0),IF(D264="Short",(F264-M264)*I264-IF(N264&lt;&gt;"",N264,0),"")),""),"")</f>
        <v/>
      </c>
      <c r="P264" s="14">
        <f>IFERROR(IF(AND(O264&lt;&gt;"",F264&lt;&gt;"",I264&lt;&gt;""),O264/(F264*I264),""),"")</f>
        <v/>
      </c>
      <c r="Q264" s="15">
        <f>IFERROR(IF(AND(O264&lt;&gt;"",J264&lt;&gt;"",J264&lt;&gt;0),O264/J264,""),"")</f>
        <v/>
      </c>
      <c r="R264" s="16">
        <f>IFERROR(IF(AND(L264&lt;&gt;"",B264&lt;&gt;""),L264-B264,""),"")</f>
        <v/>
      </c>
      <c r="S264" s="8" t="n"/>
      <c r="T264" s="8" t="n"/>
      <c r="U264" s="17">
        <f>IF(O264&lt;&gt;"",263,"")</f>
        <v/>
      </c>
      <c r="V264" s="18">
        <f>IF(O264&lt;&gt;"",V263+O264,V263)</f>
        <v/>
      </c>
    </row>
    <row r="265">
      <c r="A265" s="19" t="n"/>
      <c r="B265" s="20" t="n"/>
      <c r="C265" s="19" t="n"/>
      <c r="D265" s="19" t="n"/>
      <c r="E265" s="19" t="n"/>
      <c r="F265" s="21" t="n"/>
      <c r="G265" s="21" t="n"/>
      <c r="H265" s="21" t="n"/>
      <c r="I265" s="22" t="n"/>
      <c r="J265" s="21">
        <f>IFERROR(IF(AND(F265&lt;&gt;"",G265&lt;&gt;"",I265&lt;&gt;""),ABS(F265-G265)*I265,""),"")</f>
        <v/>
      </c>
      <c r="K265" s="23">
        <f>IFERROR(IF(AND(F265&lt;&gt;"",G265&lt;&gt;"",H265&lt;&gt;""),ABS(H265-F265)/ABS(F265-G265),""),"")</f>
        <v/>
      </c>
      <c r="L265" s="20" t="n"/>
      <c r="M265" s="21" t="n"/>
      <c r="N265" s="21" t="n"/>
      <c r="O265" s="24">
        <f>IFERROR(IF(AND(M265&lt;&gt;"",F265&lt;&gt;"",I265&lt;&gt;""),IF(D265="Long",(M265-F265)*I265-IF(N265&lt;&gt;"",N265,0),IF(D265="Short",(F265-M265)*I265-IF(N265&lt;&gt;"",N265,0),"")),""),"")</f>
        <v/>
      </c>
      <c r="P265" s="25">
        <f>IFERROR(IF(AND(O265&lt;&gt;"",F265&lt;&gt;"",I265&lt;&gt;""),O265/(F265*I265),""),"")</f>
        <v/>
      </c>
      <c r="Q265" s="26">
        <f>IFERROR(IF(AND(O265&lt;&gt;"",J265&lt;&gt;"",J265&lt;&gt;0),O265/J265,""),"")</f>
        <v/>
      </c>
      <c r="R265" s="27">
        <f>IFERROR(IF(AND(L265&lt;&gt;"",B265&lt;&gt;""),L265-B265,""),"")</f>
        <v/>
      </c>
      <c r="S265" s="19" t="n"/>
      <c r="T265" s="19" t="n"/>
      <c r="U265" s="17">
        <f>IF(O265&lt;&gt;"",264,"")</f>
        <v/>
      </c>
      <c r="V265" s="18">
        <f>IF(O265&lt;&gt;"",V264+O265,V264)</f>
        <v/>
      </c>
    </row>
    <row r="266">
      <c r="A266" s="8" t="n"/>
      <c r="B266" s="9" t="n"/>
      <c r="C266" s="8" t="n"/>
      <c r="D266" s="8" t="n"/>
      <c r="E266" s="8" t="n"/>
      <c r="F266" s="10" t="n"/>
      <c r="G266" s="10" t="n"/>
      <c r="H266" s="10" t="n"/>
      <c r="I266" s="11" t="n"/>
      <c r="J266" s="10">
        <f>IFERROR(IF(AND(F266&lt;&gt;"",G266&lt;&gt;"",I266&lt;&gt;""),ABS(F266-G266)*I266,""),"")</f>
        <v/>
      </c>
      <c r="K266" s="12">
        <f>IFERROR(IF(AND(F266&lt;&gt;"",G266&lt;&gt;"",H266&lt;&gt;""),ABS(H266-F266)/ABS(F266-G266),""),"")</f>
        <v/>
      </c>
      <c r="L266" s="9" t="n"/>
      <c r="M266" s="10" t="n"/>
      <c r="N266" s="10" t="n"/>
      <c r="O266" s="13">
        <f>IFERROR(IF(AND(M266&lt;&gt;"",F266&lt;&gt;"",I266&lt;&gt;""),IF(D266="Long",(M266-F266)*I266-IF(N266&lt;&gt;"",N266,0),IF(D266="Short",(F266-M266)*I266-IF(N266&lt;&gt;"",N266,0),"")),""),"")</f>
        <v/>
      </c>
      <c r="P266" s="14">
        <f>IFERROR(IF(AND(O266&lt;&gt;"",F266&lt;&gt;"",I266&lt;&gt;""),O266/(F266*I266),""),"")</f>
        <v/>
      </c>
      <c r="Q266" s="15">
        <f>IFERROR(IF(AND(O266&lt;&gt;"",J266&lt;&gt;"",J266&lt;&gt;0),O266/J266,""),"")</f>
        <v/>
      </c>
      <c r="R266" s="16">
        <f>IFERROR(IF(AND(L266&lt;&gt;"",B266&lt;&gt;""),L266-B266,""),"")</f>
        <v/>
      </c>
      <c r="S266" s="8" t="n"/>
      <c r="T266" s="8" t="n"/>
      <c r="U266" s="17">
        <f>IF(O266&lt;&gt;"",265,"")</f>
        <v/>
      </c>
      <c r="V266" s="18">
        <f>IF(O266&lt;&gt;"",V265+O266,V265)</f>
        <v/>
      </c>
    </row>
    <row r="267">
      <c r="A267" s="19" t="n"/>
      <c r="B267" s="20" t="n"/>
      <c r="C267" s="19" t="n"/>
      <c r="D267" s="19" t="n"/>
      <c r="E267" s="19" t="n"/>
      <c r="F267" s="21" t="n"/>
      <c r="G267" s="21" t="n"/>
      <c r="H267" s="21" t="n"/>
      <c r="I267" s="22" t="n"/>
      <c r="J267" s="21">
        <f>IFERROR(IF(AND(F267&lt;&gt;"",G267&lt;&gt;"",I267&lt;&gt;""),ABS(F267-G267)*I267,""),"")</f>
        <v/>
      </c>
      <c r="K267" s="23">
        <f>IFERROR(IF(AND(F267&lt;&gt;"",G267&lt;&gt;"",H267&lt;&gt;""),ABS(H267-F267)/ABS(F267-G267),""),"")</f>
        <v/>
      </c>
      <c r="L267" s="20" t="n"/>
      <c r="M267" s="21" t="n"/>
      <c r="N267" s="21" t="n"/>
      <c r="O267" s="24">
        <f>IFERROR(IF(AND(M267&lt;&gt;"",F267&lt;&gt;"",I267&lt;&gt;""),IF(D267="Long",(M267-F267)*I267-IF(N267&lt;&gt;"",N267,0),IF(D267="Short",(F267-M267)*I267-IF(N267&lt;&gt;"",N267,0),"")),""),"")</f>
        <v/>
      </c>
      <c r="P267" s="25">
        <f>IFERROR(IF(AND(O267&lt;&gt;"",F267&lt;&gt;"",I267&lt;&gt;""),O267/(F267*I267),""),"")</f>
        <v/>
      </c>
      <c r="Q267" s="26">
        <f>IFERROR(IF(AND(O267&lt;&gt;"",J267&lt;&gt;"",J267&lt;&gt;0),O267/J267,""),"")</f>
        <v/>
      </c>
      <c r="R267" s="27">
        <f>IFERROR(IF(AND(L267&lt;&gt;"",B267&lt;&gt;""),L267-B267,""),"")</f>
        <v/>
      </c>
      <c r="S267" s="19" t="n"/>
      <c r="T267" s="19" t="n"/>
      <c r="U267" s="17">
        <f>IF(O267&lt;&gt;"",266,"")</f>
        <v/>
      </c>
      <c r="V267" s="18">
        <f>IF(O267&lt;&gt;"",V266+O267,V266)</f>
        <v/>
      </c>
    </row>
    <row r="268">
      <c r="A268" s="8" t="n"/>
      <c r="B268" s="9" t="n"/>
      <c r="C268" s="8" t="n"/>
      <c r="D268" s="8" t="n"/>
      <c r="E268" s="8" t="n"/>
      <c r="F268" s="10" t="n"/>
      <c r="G268" s="10" t="n"/>
      <c r="H268" s="10" t="n"/>
      <c r="I268" s="11" t="n"/>
      <c r="J268" s="10">
        <f>IFERROR(IF(AND(F268&lt;&gt;"",G268&lt;&gt;"",I268&lt;&gt;""),ABS(F268-G268)*I268,""),"")</f>
        <v/>
      </c>
      <c r="K268" s="12">
        <f>IFERROR(IF(AND(F268&lt;&gt;"",G268&lt;&gt;"",H268&lt;&gt;""),ABS(H268-F268)/ABS(F268-G268),""),"")</f>
        <v/>
      </c>
      <c r="L268" s="9" t="n"/>
      <c r="M268" s="10" t="n"/>
      <c r="N268" s="10" t="n"/>
      <c r="O268" s="13">
        <f>IFERROR(IF(AND(M268&lt;&gt;"",F268&lt;&gt;"",I268&lt;&gt;""),IF(D268="Long",(M268-F268)*I268-IF(N268&lt;&gt;"",N268,0),IF(D268="Short",(F268-M268)*I268-IF(N268&lt;&gt;"",N268,0),"")),""),"")</f>
        <v/>
      </c>
      <c r="P268" s="14">
        <f>IFERROR(IF(AND(O268&lt;&gt;"",F268&lt;&gt;"",I268&lt;&gt;""),O268/(F268*I268),""),"")</f>
        <v/>
      </c>
      <c r="Q268" s="15">
        <f>IFERROR(IF(AND(O268&lt;&gt;"",J268&lt;&gt;"",J268&lt;&gt;0),O268/J268,""),"")</f>
        <v/>
      </c>
      <c r="R268" s="16">
        <f>IFERROR(IF(AND(L268&lt;&gt;"",B268&lt;&gt;""),L268-B268,""),"")</f>
        <v/>
      </c>
      <c r="S268" s="8" t="n"/>
      <c r="T268" s="8" t="n"/>
      <c r="U268" s="17">
        <f>IF(O268&lt;&gt;"",267,"")</f>
        <v/>
      </c>
      <c r="V268" s="18">
        <f>IF(O268&lt;&gt;"",V267+O268,V267)</f>
        <v/>
      </c>
    </row>
    <row r="269">
      <c r="A269" s="19" t="n"/>
      <c r="B269" s="20" t="n"/>
      <c r="C269" s="19" t="n"/>
      <c r="D269" s="19" t="n"/>
      <c r="E269" s="19" t="n"/>
      <c r="F269" s="21" t="n"/>
      <c r="G269" s="21" t="n"/>
      <c r="H269" s="21" t="n"/>
      <c r="I269" s="22" t="n"/>
      <c r="J269" s="21">
        <f>IFERROR(IF(AND(F269&lt;&gt;"",G269&lt;&gt;"",I269&lt;&gt;""),ABS(F269-G269)*I269,""),"")</f>
        <v/>
      </c>
      <c r="K269" s="23">
        <f>IFERROR(IF(AND(F269&lt;&gt;"",G269&lt;&gt;"",H269&lt;&gt;""),ABS(H269-F269)/ABS(F269-G269),""),"")</f>
        <v/>
      </c>
      <c r="L269" s="20" t="n"/>
      <c r="M269" s="21" t="n"/>
      <c r="N269" s="21" t="n"/>
      <c r="O269" s="24">
        <f>IFERROR(IF(AND(M269&lt;&gt;"",F269&lt;&gt;"",I269&lt;&gt;""),IF(D269="Long",(M269-F269)*I269-IF(N269&lt;&gt;"",N269,0),IF(D269="Short",(F269-M269)*I269-IF(N269&lt;&gt;"",N269,0),"")),""),"")</f>
        <v/>
      </c>
      <c r="P269" s="25">
        <f>IFERROR(IF(AND(O269&lt;&gt;"",F269&lt;&gt;"",I269&lt;&gt;""),O269/(F269*I269),""),"")</f>
        <v/>
      </c>
      <c r="Q269" s="26">
        <f>IFERROR(IF(AND(O269&lt;&gt;"",J269&lt;&gt;"",J269&lt;&gt;0),O269/J269,""),"")</f>
        <v/>
      </c>
      <c r="R269" s="27">
        <f>IFERROR(IF(AND(L269&lt;&gt;"",B269&lt;&gt;""),L269-B269,""),"")</f>
        <v/>
      </c>
      <c r="S269" s="19" t="n"/>
      <c r="T269" s="19" t="n"/>
      <c r="U269" s="17">
        <f>IF(O269&lt;&gt;"",268,"")</f>
        <v/>
      </c>
      <c r="V269" s="18">
        <f>IF(O269&lt;&gt;"",V268+O269,V268)</f>
        <v/>
      </c>
    </row>
    <row r="270">
      <c r="A270" s="8" t="n"/>
      <c r="B270" s="9" t="n"/>
      <c r="C270" s="8" t="n"/>
      <c r="D270" s="8" t="n"/>
      <c r="E270" s="8" t="n"/>
      <c r="F270" s="10" t="n"/>
      <c r="G270" s="10" t="n"/>
      <c r="H270" s="10" t="n"/>
      <c r="I270" s="11" t="n"/>
      <c r="J270" s="10">
        <f>IFERROR(IF(AND(F270&lt;&gt;"",G270&lt;&gt;"",I270&lt;&gt;""),ABS(F270-G270)*I270,""),"")</f>
        <v/>
      </c>
      <c r="K270" s="12">
        <f>IFERROR(IF(AND(F270&lt;&gt;"",G270&lt;&gt;"",H270&lt;&gt;""),ABS(H270-F270)/ABS(F270-G270),""),"")</f>
        <v/>
      </c>
      <c r="L270" s="9" t="n"/>
      <c r="M270" s="10" t="n"/>
      <c r="N270" s="10" t="n"/>
      <c r="O270" s="13">
        <f>IFERROR(IF(AND(M270&lt;&gt;"",F270&lt;&gt;"",I270&lt;&gt;""),IF(D270="Long",(M270-F270)*I270-IF(N270&lt;&gt;"",N270,0),IF(D270="Short",(F270-M270)*I270-IF(N270&lt;&gt;"",N270,0),"")),""),"")</f>
        <v/>
      </c>
      <c r="P270" s="14">
        <f>IFERROR(IF(AND(O270&lt;&gt;"",F270&lt;&gt;"",I270&lt;&gt;""),O270/(F270*I270),""),"")</f>
        <v/>
      </c>
      <c r="Q270" s="15">
        <f>IFERROR(IF(AND(O270&lt;&gt;"",J270&lt;&gt;"",J270&lt;&gt;0),O270/J270,""),"")</f>
        <v/>
      </c>
      <c r="R270" s="16">
        <f>IFERROR(IF(AND(L270&lt;&gt;"",B270&lt;&gt;""),L270-B270,""),"")</f>
        <v/>
      </c>
      <c r="S270" s="8" t="n"/>
      <c r="T270" s="8" t="n"/>
      <c r="U270" s="17">
        <f>IF(O270&lt;&gt;"",269,"")</f>
        <v/>
      </c>
      <c r="V270" s="18">
        <f>IF(O270&lt;&gt;"",V269+O270,V269)</f>
        <v/>
      </c>
    </row>
    <row r="271">
      <c r="A271" s="19" t="n"/>
      <c r="B271" s="20" t="n"/>
      <c r="C271" s="19" t="n"/>
      <c r="D271" s="19" t="n"/>
      <c r="E271" s="19" t="n"/>
      <c r="F271" s="21" t="n"/>
      <c r="G271" s="21" t="n"/>
      <c r="H271" s="21" t="n"/>
      <c r="I271" s="22" t="n"/>
      <c r="J271" s="21">
        <f>IFERROR(IF(AND(F271&lt;&gt;"",G271&lt;&gt;"",I271&lt;&gt;""),ABS(F271-G271)*I271,""),"")</f>
        <v/>
      </c>
      <c r="K271" s="23">
        <f>IFERROR(IF(AND(F271&lt;&gt;"",G271&lt;&gt;"",H271&lt;&gt;""),ABS(H271-F271)/ABS(F271-G271),""),"")</f>
        <v/>
      </c>
      <c r="L271" s="20" t="n"/>
      <c r="M271" s="21" t="n"/>
      <c r="N271" s="21" t="n"/>
      <c r="O271" s="24">
        <f>IFERROR(IF(AND(M271&lt;&gt;"",F271&lt;&gt;"",I271&lt;&gt;""),IF(D271="Long",(M271-F271)*I271-IF(N271&lt;&gt;"",N271,0),IF(D271="Short",(F271-M271)*I271-IF(N271&lt;&gt;"",N271,0),"")),""),"")</f>
        <v/>
      </c>
      <c r="P271" s="25">
        <f>IFERROR(IF(AND(O271&lt;&gt;"",F271&lt;&gt;"",I271&lt;&gt;""),O271/(F271*I271),""),"")</f>
        <v/>
      </c>
      <c r="Q271" s="26">
        <f>IFERROR(IF(AND(O271&lt;&gt;"",J271&lt;&gt;"",J271&lt;&gt;0),O271/J271,""),"")</f>
        <v/>
      </c>
      <c r="R271" s="27">
        <f>IFERROR(IF(AND(L271&lt;&gt;"",B271&lt;&gt;""),L271-B271,""),"")</f>
        <v/>
      </c>
      <c r="S271" s="19" t="n"/>
      <c r="T271" s="19" t="n"/>
      <c r="U271" s="17">
        <f>IF(O271&lt;&gt;"",270,"")</f>
        <v/>
      </c>
      <c r="V271" s="18">
        <f>IF(O271&lt;&gt;"",V270+O271,V270)</f>
        <v/>
      </c>
    </row>
    <row r="272">
      <c r="A272" s="8" t="n"/>
      <c r="B272" s="9" t="n"/>
      <c r="C272" s="8" t="n"/>
      <c r="D272" s="8" t="n"/>
      <c r="E272" s="8" t="n"/>
      <c r="F272" s="10" t="n"/>
      <c r="G272" s="10" t="n"/>
      <c r="H272" s="10" t="n"/>
      <c r="I272" s="11" t="n"/>
      <c r="J272" s="10">
        <f>IFERROR(IF(AND(F272&lt;&gt;"",G272&lt;&gt;"",I272&lt;&gt;""),ABS(F272-G272)*I272,""),"")</f>
        <v/>
      </c>
      <c r="K272" s="12">
        <f>IFERROR(IF(AND(F272&lt;&gt;"",G272&lt;&gt;"",H272&lt;&gt;""),ABS(H272-F272)/ABS(F272-G272),""),"")</f>
        <v/>
      </c>
      <c r="L272" s="9" t="n"/>
      <c r="M272" s="10" t="n"/>
      <c r="N272" s="10" t="n"/>
      <c r="O272" s="13">
        <f>IFERROR(IF(AND(M272&lt;&gt;"",F272&lt;&gt;"",I272&lt;&gt;""),IF(D272="Long",(M272-F272)*I272-IF(N272&lt;&gt;"",N272,0),IF(D272="Short",(F272-M272)*I272-IF(N272&lt;&gt;"",N272,0),"")),""),"")</f>
        <v/>
      </c>
      <c r="P272" s="14">
        <f>IFERROR(IF(AND(O272&lt;&gt;"",F272&lt;&gt;"",I272&lt;&gt;""),O272/(F272*I272),""),"")</f>
        <v/>
      </c>
      <c r="Q272" s="15">
        <f>IFERROR(IF(AND(O272&lt;&gt;"",J272&lt;&gt;"",J272&lt;&gt;0),O272/J272,""),"")</f>
        <v/>
      </c>
      <c r="R272" s="16">
        <f>IFERROR(IF(AND(L272&lt;&gt;"",B272&lt;&gt;""),L272-B272,""),"")</f>
        <v/>
      </c>
      <c r="S272" s="8" t="n"/>
      <c r="T272" s="8" t="n"/>
      <c r="U272" s="17">
        <f>IF(O272&lt;&gt;"",271,"")</f>
        <v/>
      </c>
      <c r="V272" s="18">
        <f>IF(O272&lt;&gt;"",V271+O272,V271)</f>
        <v/>
      </c>
    </row>
    <row r="273">
      <c r="A273" s="19" t="n"/>
      <c r="B273" s="20" t="n"/>
      <c r="C273" s="19" t="n"/>
      <c r="D273" s="19" t="n"/>
      <c r="E273" s="19" t="n"/>
      <c r="F273" s="21" t="n"/>
      <c r="G273" s="21" t="n"/>
      <c r="H273" s="21" t="n"/>
      <c r="I273" s="22" t="n"/>
      <c r="J273" s="21">
        <f>IFERROR(IF(AND(F273&lt;&gt;"",G273&lt;&gt;"",I273&lt;&gt;""),ABS(F273-G273)*I273,""),"")</f>
        <v/>
      </c>
      <c r="K273" s="23">
        <f>IFERROR(IF(AND(F273&lt;&gt;"",G273&lt;&gt;"",H273&lt;&gt;""),ABS(H273-F273)/ABS(F273-G273),""),"")</f>
        <v/>
      </c>
      <c r="L273" s="20" t="n"/>
      <c r="M273" s="21" t="n"/>
      <c r="N273" s="21" t="n"/>
      <c r="O273" s="24">
        <f>IFERROR(IF(AND(M273&lt;&gt;"",F273&lt;&gt;"",I273&lt;&gt;""),IF(D273="Long",(M273-F273)*I273-IF(N273&lt;&gt;"",N273,0),IF(D273="Short",(F273-M273)*I273-IF(N273&lt;&gt;"",N273,0),"")),""),"")</f>
        <v/>
      </c>
      <c r="P273" s="25">
        <f>IFERROR(IF(AND(O273&lt;&gt;"",F273&lt;&gt;"",I273&lt;&gt;""),O273/(F273*I273),""),"")</f>
        <v/>
      </c>
      <c r="Q273" s="26">
        <f>IFERROR(IF(AND(O273&lt;&gt;"",J273&lt;&gt;"",J273&lt;&gt;0),O273/J273,""),"")</f>
        <v/>
      </c>
      <c r="R273" s="27">
        <f>IFERROR(IF(AND(L273&lt;&gt;"",B273&lt;&gt;""),L273-B273,""),"")</f>
        <v/>
      </c>
      <c r="S273" s="19" t="n"/>
      <c r="T273" s="19" t="n"/>
      <c r="U273" s="17">
        <f>IF(O273&lt;&gt;"",272,"")</f>
        <v/>
      </c>
      <c r="V273" s="18">
        <f>IF(O273&lt;&gt;"",V272+O273,V272)</f>
        <v/>
      </c>
    </row>
    <row r="274">
      <c r="A274" s="8" t="n"/>
      <c r="B274" s="9" t="n"/>
      <c r="C274" s="8" t="n"/>
      <c r="D274" s="8" t="n"/>
      <c r="E274" s="8" t="n"/>
      <c r="F274" s="10" t="n"/>
      <c r="G274" s="10" t="n"/>
      <c r="H274" s="10" t="n"/>
      <c r="I274" s="11" t="n"/>
      <c r="J274" s="10">
        <f>IFERROR(IF(AND(F274&lt;&gt;"",G274&lt;&gt;"",I274&lt;&gt;""),ABS(F274-G274)*I274,""),"")</f>
        <v/>
      </c>
      <c r="K274" s="12">
        <f>IFERROR(IF(AND(F274&lt;&gt;"",G274&lt;&gt;"",H274&lt;&gt;""),ABS(H274-F274)/ABS(F274-G274),""),"")</f>
        <v/>
      </c>
      <c r="L274" s="9" t="n"/>
      <c r="M274" s="10" t="n"/>
      <c r="N274" s="10" t="n"/>
      <c r="O274" s="13">
        <f>IFERROR(IF(AND(M274&lt;&gt;"",F274&lt;&gt;"",I274&lt;&gt;""),IF(D274="Long",(M274-F274)*I274-IF(N274&lt;&gt;"",N274,0),IF(D274="Short",(F274-M274)*I274-IF(N274&lt;&gt;"",N274,0),"")),""),"")</f>
        <v/>
      </c>
      <c r="P274" s="14">
        <f>IFERROR(IF(AND(O274&lt;&gt;"",F274&lt;&gt;"",I274&lt;&gt;""),O274/(F274*I274),""),"")</f>
        <v/>
      </c>
      <c r="Q274" s="15">
        <f>IFERROR(IF(AND(O274&lt;&gt;"",J274&lt;&gt;"",J274&lt;&gt;0),O274/J274,""),"")</f>
        <v/>
      </c>
      <c r="R274" s="16">
        <f>IFERROR(IF(AND(L274&lt;&gt;"",B274&lt;&gt;""),L274-B274,""),"")</f>
        <v/>
      </c>
      <c r="S274" s="8" t="n"/>
      <c r="T274" s="8" t="n"/>
      <c r="U274" s="17">
        <f>IF(O274&lt;&gt;"",273,"")</f>
        <v/>
      </c>
      <c r="V274" s="18">
        <f>IF(O274&lt;&gt;"",V273+O274,V273)</f>
        <v/>
      </c>
    </row>
    <row r="275">
      <c r="A275" s="19" t="n"/>
      <c r="B275" s="20" t="n"/>
      <c r="C275" s="19" t="n"/>
      <c r="D275" s="19" t="n"/>
      <c r="E275" s="19" t="n"/>
      <c r="F275" s="21" t="n"/>
      <c r="G275" s="21" t="n"/>
      <c r="H275" s="21" t="n"/>
      <c r="I275" s="22" t="n"/>
      <c r="J275" s="21">
        <f>IFERROR(IF(AND(F275&lt;&gt;"",G275&lt;&gt;"",I275&lt;&gt;""),ABS(F275-G275)*I275,""),"")</f>
        <v/>
      </c>
      <c r="K275" s="23">
        <f>IFERROR(IF(AND(F275&lt;&gt;"",G275&lt;&gt;"",H275&lt;&gt;""),ABS(H275-F275)/ABS(F275-G275),""),"")</f>
        <v/>
      </c>
      <c r="L275" s="20" t="n"/>
      <c r="M275" s="21" t="n"/>
      <c r="N275" s="21" t="n"/>
      <c r="O275" s="24">
        <f>IFERROR(IF(AND(M275&lt;&gt;"",F275&lt;&gt;"",I275&lt;&gt;""),IF(D275="Long",(M275-F275)*I275-IF(N275&lt;&gt;"",N275,0),IF(D275="Short",(F275-M275)*I275-IF(N275&lt;&gt;"",N275,0),"")),""),"")</f>
        <v/>
      </c>
      <c r="P275" s="25">
        <f>IFERROR(IF(AND(O275&lt;&gt;"",F275&lt;&gt;"",I275&lt;&gt;""),O275/(F275*I275),""),"")</f>
        <v/>
      </c>
      <c r="Q275" s="26">
        <f>IFERROR(IF(AND(O275&lt;&gt;"",J275&lt;&gt;"",J275&lt;&gt;0),O275/J275,""),"")</f>
        <v/>
      </c>
      <c r="R275" s="27">
        <f>IFERROR(IF(AND(L275&lt;&gt;"",B275&lt;&gt;""),L275-B275,""),"")</f>
        <v/>
      </c>
      <c r="S275" s="19" t="n"/>
      <c r="T275" s="19" t="n"/>
      <c r="U275" s="17">
        <f>IF(O275&lt;&gt;"",274,"")</f>
        <v/>
      </c>
      <c r="V275" s="18">
        <f>IF(O275&lt;&gt;"",V274+O275,V274)</f>
        <v/>
      </c>
    </row>
    <row r="276">
      <c r="A276" s="8" t="n"/>
      <c r="B276" s="9" t="n"/>
      <c r="C276" s="8" t="n"/>
      <c r="D276" s="8" t="n"/>
      <c r="E276" s="8" t="n"/>
      <c r="F276" s="10" t="n"/>
      <c r="G276" s="10" t="n"/>
      <c r="H276" s="10" t="n"/>
      <c r="I276" s="11" t="n"/>
      <c r="J276" s="10">
        <f>IFERROR(IF(AND(F276&lt;&gt;"",G276&lt;&gt;"",I276&lt;&gt;""),ABS(F276-G276)*I276,""),"")</f>
        <v/>
      </c>
      <c r="K276" s="12">
        <f>IFERROR(IF(AND(F276&lt;&gt;"",G276&lt;&gt;"",H276&lt;&gt;""),ABS(H276-F276)/ABS(F276-G276),""),"")</f>
        <v/>
      </c>
      <c r="L276" s="9" t="n"/>
      <c r="M276" s="10" t="n"/>
      <c r="N276" s="10" t="n"/>
      <c r="O276" s="13">
        <f>IFERROR(IF(AND(M276&lt;&gt;"",F276&lt;&gt;"",I276&lt;&gt;""),IF(D276="Long",(M276-F276)*I276-IF(N276&lt;&gt;"",N276,0),IF(D276="Short",(F276-M276)*I276-IF(N276&lt;&gt;"",N276,0),"")),""),"")</f>
        <v/>
      </c>
      <c r="P276" s="14">
        <f>IFERROR(IF(AND(O276&lt;&gt;"",F276&lt;&gt;"",I276&lt;&gt;""),O276/(F276*I276),""),"")</f>
        <v/>
      </c>
      <c r="Q276" s="15">
        <f>IFERROR(IF(AND(O276&lt;&gt;"",J276&lt;&gt;"",J276&lt;&gt;0),O276/J276,""),"")</f>
        <v/>
      </c>
      <c r="R276" s="16">
        <f>IFERROR(IF(AND(L276&lt;&gt;"",B276&lt;&gt;""),L276-B276,""),"")</f>
        <v/>
      </c>
      <c r="S276" s="8" t="n"/>
      <c r="T276" s="8" t="n"/>
      <c r="U276" s="17">
        <f>IF(O276&lt;&gt;"",275,"")</f>
        <v/>
      </c>
      <c r="V276" s="18">
        <f>IF(O276&lt;&gt;"",V275+O276,V275)</f>
        <v/>
      </c>
    </row>
    <row r="277">
      <c r="A277" s="19" t="n"/>
      <c r="B277" s="20" t="n"/>
      <c r="C277" s="19" t="n"/>
      <c r="D277" s="19" t="n"/>
      <c r="E277" s="19" t="n"/>
      <c r="F277" s="21" t="n"/>
      <c r="G277" s="21" t="n"/>
      <c r="H277" s="21" t="n"/>
      <c r="I277" s="22" t="n"/>
      <c r="J277" s="21">
        <f>IFERROR(IF(AND(F277&lt;&gt;"",G277&lt;&gt;"",I277&lt;&gt;""),ABS(F277-G277)*I277,""),"")</f>
        <v/>
      </c>
      <c r="K277" s="23">
        <f>IFERROR(IF(AND(F277&lt;&gt;"",G277&lt;&gt;"",H277&lt;&gt;""),ABS(H277-F277)/ABS(F277-G277),""),"")</f>
        <v/>
      </c>
      <c r="L277" s="20" t="n"/>
      <c r="M277" s="21" t="n"/>
      <c r="N277" s="21" t="n"/>
      <c r="O277" s="24">
        <f>IFERROR(IF(AND(M277&lt;&gt;"",F277&lt;&gt;"",I277&lt;&gt;""),IF(D277="Long",(M277-F277)*I277-IF(N277&lt;&gt;"",N277,0),IF(D277="Short",(F277-M277)*I277-IF(N277&lt;&gt;"",N277,0),"")),""),"")</f>
        <v/>
      </c>
      <c r="P277" s="25">
        <f>IFERROR(IF(AND(O277&lt;&gt;"",F277&lt;&gt;"",I277&lt;&gt;""),O277/(F277*I277),""),"")</f>
        <v/>
      </c>
      <c r="Q277" s="26">
        <f>IFERROR(IF(AND(O277&lt;&gt;"",J277&lt;&gt;"",J277&lt;&gt;0),O277/J277,""),"")</f>
        <v/>
      </c>
      <c r="R277" s="27">
        <f>IFERROR(IF(AND(L277&lt;&gt;"",B277&lt;&gt;""),L277-B277,""),"")</f>
        <v/>
      </c>
      <c r="S277" s="19" t="n"/>
      <c r="T277" s="19" t="n"/>
      <c r="U277" s="17">
        <f>IF(O277&lt;&gt;"",276,"")</f>
        <v/>
      </c>
      <c r="V277" s="18">
        <f>IF(O277&lt;&gt;"",V276+O277,V276)</f>
        <v/>
      </c>
    </row>
    <row r="278">
      <c r="A278" s="8" t="n"/>
      <c r="B278" s="9" t="n"/>
      <c r="C278" s="8" t="n"/>
      <c r="D278" s="8" t="n"/>
      <c r="E278" s="8" t="n"/>
      <c r="F278" s="10" t="n"/>
      <c r="G278" s="10" t="n"/>
      <c r="H278" s="10" t="n"/>
      <c r="I278" s="11" t="n"/>
      <c r="J278" s="10">
        <f>IFERROR(IF(AND(F278&lt;&gt;"",G278&lt;&gt;"",I278&lt;&gt;""),ABS(F278-G278)*I278,""),"")</f>
        <v/>
      </c>
      <c r="K278" s="12">
        <f>IFERROR(IF(AND(F278&lt;&gt;"",G278&lt;&gt;"",H278&lt;&gt;""),ABS(H278-F278)/ABS(F278-G278),""),"")</f>
        <v/>
      </c>
      <c r="L278" s="9" t="n"/>
      <c r="M278" s="10" t="n"/>
      <c r="N278" s="10" t="n"/>
      <c r="O278" s="13">
        <f>IFERROR(IF(AND(M278&lt;&gt;"",F278&lt;&gt;"",I278&lt;&gt;""),IF(D278="Long",(M278-F278)*I278-IF(N278&lt;&gt;"",N278,0),IF(D278="Short",(F278-M278)*I278-IF(N278&lt;&gt;"",N278,0),"")),""),"")</f>
        <v/>
      </c>
      <c r="P278" s="14">
        <f>IFERROR(IF(AND(O278&lt;&gt;"",F278&lt;&gt;"",I278&lt;&gt;""),O278/(F278*I278),""),"")</f>
        <v/>
      </c>
      <c r="Q278" s="15">
        <f>IFERROR(IF(AND(O278&lt;&gt;"",J278&lt;&gt;"",J278&lt;&gt;0),O278/J278,""),"")</f>
        <v/>
      </c>
      <c r="R278" s="16">
        <f>IFERROR(IF(AND(L278&lt;&gt;"",B278&lt;&gt;""),L278-B278,""),"")</f>
        <v/>
      </c>
      <c r="S278" s="8" t="n"/>
      <c r="T278" s="8" t="n"/>
      <c r="U278" s="17">
        <f>IF(O278&lt;&gt;"",277,"")</f>
        <v/>
      </c>
      <c r="V278" s="18">
        <f>IF(O278&lt;&gt;"",V277+O278,V277)</f>
        <v/>
      </c>
    </row>
    <row r="279">
      <c r="A279" s="19" t="n"/>
      <c r="B279" s="20" t="n"/>
      <c r="C279" s="19" t="n"/>
      <c r="D279" s="19" t="n"/>
      <c r="E279" s="19" t="n"/>
      <c r="F279" s="21" t="n"/>
      <c r="G279" s="21" t="n"/>
      <c r="H279" s="21" t="n"/>
      <c r="I279" s="22" t="n"/>
      <c r="J279" s="21">
        <f>IFERROR(IF(AND(F279&lt;&gt;"",G279&lt;&gt;"",I279&lt;&gt;""),ABS(F279-G279)*I279,""),"")</f>
        <v/>
      </c>
      <c r="K279" s="23">
        <f>IFERROR(IF(AND(F279&lt;&gt;"",G279&lt;&gt;"",H279&lt;&gt;""),ABS(H279-F279)/ABS(F279-G279),""),"")</f>
        <v/>
      </c>
      <c r="L279" s="20" t="n"/>
      <c r="M279" s="21" t="n"/>
      <c r="N279" s="21" t="n"/>
      <c r="O279" s="24">
        <f>IFERROR(IF(AND(M279&lt;&gt;"",F279&lt;&gt;"",I279&lt;&gt;""),IF(D279="Long",(M279-F279)*I279-IF(N279&lt;&gt;"",N279,0),IF(D279="Short",(F279-M279)*I279-IF(N279&lt;&gt;"",N279,0),"")),""),"")</f>
        <v/>
      </c>
      <c r="P279" s="25">
        <f>IFERROR(IF(AND(O279&lt;&gt;"",F279&lt;&gt;"",I279&lt;&gt;""),O279/(F279*I279),""),"")</f>
        <v/>
      </c>
      <c r="Q279" s="26">
        <f>IFERROR(IF(AND(O279&lt;&gt;"",J279&lt;&gt;"",J279&lt;&gt;0),O279/J279,""),"")</f>
        <v/>
      </c>
      <c r="R279" s="27">
        <f>IFERROR(IF(AND(L279&lt;&gt;"",B279&lt;&gt;""),L279-B279,""),"")</f>
        <v/>
      </c>
      <c r="S279" s="19" t="n"/>
      <c r="T279" s="19" t="n"/>
      <c r="U279" s="17">
        <f>IF(O279&lt;&gt;"",278,"")</f>
        <v/>
      </c>
      <c r="V279" s="18">
        <f>IF(O279&lt;&gt;"",V278+O279,V278)</f>
        <v/>
      </c>
    </row>
    <row r="280">
      <c r="A280" s="8" t="n"/>
      <c r="B280" s="9" t="n"/>
      <c r="C280" s="8" t="n"/>
      <c r="D280" s="8" t="n"/>
      <c r="E280" s="8" t="n"/>
      <c r="F280" s="10" t="n"/>
      <c r="G280" s="10" t="n"/>
      <c r="H280" s="10" t="n"/>
      <c r="I280" s="11" t="n"/>
      <c r="J280" s="10">
        <f>IFERROR(IF(AND(F280&lt;&gt;"",G280&lt;&gt;"",I280&lt;&gt;""),ABS(F280-G280)*I280,""),"")</f>
        <v/>
      </c>
      <c r="K280" s="12">
        <f>IFERROR(IF(AND(F280&lt;&gt;"",G280&lt;&gt;"",H280&lt;&gt;""),ABS(H280-F280)/ABS(F280-G280),""),"")</f>
        <v/>
      </c>
      <c r="L280" s="9" t="n"/>
      <c r="M280" s="10" t="n"/>
      <c r="N280" s="10" t="n"/>
      <c r="O280" s="13">
        <f>IFERROR(IF(AND(M280&lt;&gt;"",F280&lt;&gt;"",I280&lt;&gt;""),IF(D280="Long",(M280-F280)*I280-IF(N280&lt;&gt;"",N280,0),IF(D280="Short",(F280-M280)*I280-IF(N280&lt;&gt;"",N280,0),"")),""),"")</f>
        <v/>
      </c>
      <c r="P280" s="14">
        <f>IFERROR(IF(AND(O280&lt;&gt;"",F280&lt;&gt;"",I280&lt;&gt;""),O280/(F280*I280),""),"")</f>
        <v/>
      </c>
      <c r="Q280" s="15">
        <f>IFERROR(IF(AND(O280&lt;&gt;"",J280&lt;&gt;"",J280&lt;&gt;0),O280/J280,""),"")</f>
        <v/>
      </c>
      <c r="R280" s="16">
        <f>IFERROR(IF(AND(L280&lt;&gt;"",B280&lt;&gt;""),L280-B280,""),"")</f>
        <v/>
      </c>
      <c r="S280" s="8" t="n"/>
      <c r="T280" s="8" t="n"/>
      <c r="U280" s="17">
        <f>IF(O280&lt;&gt;"",279,"")</f>
        <v/>
      </c>
      <c r="V280" s="18">
        <f>IF(O280&lt;&gt;"",V279+O280,V279)</f>
        <v/>
      </c>
    </row>
    <row r="281">
      <c r="A281" s="19" t="n"/>
      <c r="B281" s="20" t="n"/>
      <c r="C281" s="19" t="n"/>
      <c r="D281" s="19" t="n"/>
      <c r="E281" s="19" t="n"/>
      <c r="F281" s="21" t="n"/>
      <c r="G281" s="21" t="n"/>
      <c r="H281" s="21" t="n"/>
      <c r="I281" s="22" t="n"/>
      <c r="J281" s="21">
        <f>IFERROR(IF(AND(F281&lt;&gt;"",G281&lt;&gt;"",I281&lt;&gt;""),ABS(F281-G281)*I281,""),"")</f>
        <v/>
      </c>
      <c r="K281" s="23">
        <f>IFERROR(IF(AND(F281&lt;&gt;"",G281&lt;&gt;"",H281&lt;&gt;""),ABS(H281-F281)/ABS(F281-G281),""),"")</f>
        <v/>
      </c>
      <c r="L281" s="20" t="n"/>
      <c r="M281" s="21" t="n"/>
      <c r="N281" s="21" t="n"/>
      <c r="O281" s="24">
        <f>IFERROR(IF(AND(M281&lt;&gt;"",F281&lt;&gt;"",I281&lt;&gt;""),IF(D281="Long",(M281-F281)*I281-IF(N281&lt;&gt;"",N281,0),IF(D281="Short",(F281-M281)*I281-IF(N281&lt;&gt;"",N281,0),"")),""),"")</f>
        <v/>
      </c>
      <c r="P281" s="25">
        <f>IFERROR(IF(AND(O281&lt;&gt;"",F281&lt;&gt;"",I281&lt;&gt;""),O281/(F281*I281),""),"")</f>
        <v/>
      </c>
      <c r="Q281" s="26">
        <f>IFERROR(IF(AND(O281&lt;&gt;"",J281&lt;&gt;"",J281&lt;&gt;0),O281/J281,""),"")</f>
        <v/>
      </c>
      <c r="R281" s="27">
        <f>IFERROR(IF(AND(L281&lt;&gt;"",B281&lt;&gt;""),L281-B281,""),"")</f>
        <v/>
      </c>
      <c r="S281" s="19" t="n"/>
      <c r="T281" s="19" t="n"/>
      <c r="U281" s="17">
        <f>IF(O281&lt;&gt;"",280,"")</f>
        <v/>
      </c>
      <c r="V281" s="18">
        <f>IF(O281&lt;&gt;"",V280+O281,V280)</f>
        <v/>
      </c>
    </row>
    <row r="282">
      <c r="A282" s="8" t="n"/>
      <c r="B282" s="9" t="n"/>
      <c r="C282" s="8" t="n"/>
      <c r="D282" s="8" t="n"/>
      <c r="E282" s="8" t="n"/>
      <c r="F282" s="10" t="n"/>
      <c r="G282" s="10" t="n"/>
      <c r="H282" s="10" t="n"/>
      <c r="I282" s="11" t="n"/>
      <c r="J282" s="10">
        <f>IFERROR(IF(AND(F282&lt;&gt;"",G282&lt;&gt;"",I282&lt;&gt;""),ABS(F282-G282)*I282,""),"")</f>
        <v/>
      </c>
      <c r="K282" s="12">
        <f>IFERROR(IF(AND(F282&lt;&gt;"",G282&lt;&gt;"",H282&lt;&gt;""),ABS(H282-F282)/ABS(F282-G282),""),"")</f>
        <v/>
      </c>
      <c r="L282" s="9" t="n"/>
      <c r="M282" s="10" t="n"/>
      <c r="N282" s="10" t="n"/>
      <c r="O282" s="13">
        <f>IFERROR(IF(AND(M282&lt;&gt;"",F282&lt;&gt;"",I282&lt;&gt;""),IF(D282="Long",(M282-F282)*I282-IF(N282&lt;&gt;"",N282,0),IF(D282="Short",(F282-M282)*I282-IF(N282&lt;&gt;"",N282,0),"")),""),"")</f>
        <v/>
      </c>
      <c r="P282" s="14">
        <f>IFERROR(IF(AND(O282&lt;&gt;"",F282&lt;&gt;"",I282&lt;&gt;""),O282/(F282*I282),""),"")</f>
        <v/>
      </c>
      <c r="Q282" s="15">
        <f>IFERROR(IF(AND(O282&lt;&gt;"",J282&lt;&gt;"",J282&lt;&gt;0),O282/J282,""),"")</f>
        <v/>
      </c>
      <c r="R282" s="16">
        <f>IFERROR(IF(AND(L282&lt;&gt;"",B282&lt;&gt;""),L282-B282,""),"")</f>
        <v/>
      </c>
      <c r="S282" s="8" t="n"/>
      <c r="T282" s="8" t="n"/>
      <c r="U282" s="17">
        <f>IF(O282&lt;&gt;"",281,"")</f>
        <v/>
      </c>
      <c r="V282" s="18">
        <f>IF(O282&lt;&gt;"",V281+O282,V281)</f>
        <v/>
      </c>
    </row>
    <row r="283">
      <c r="A283" s="19" t="n"/>
      <c r="B283" s="20" t="n"/>
      <c r="C283" s="19" t="n"/>
      <c r="D283" s="19" t="n"/>
      <c r="E283" s="19" t="n"/>
      <c r="F283" s="21" t="n"/>
      <c r="G283" s="21" t="n"/>
      <c r="H283" s="21" t="n"/>
      <c r="I283" s="22" t="n"/>
      <c r="J283" s="21">
        <f>IFERROR(IF(AND(F283&lt;&gt;"",G283&lt;&gt;"",I283&lt;&gt;""),ABS(F283-G283)*I283,""),"")</f>
        <v/>
      </c>
      <c r="K283" s="23">
        <f>IFERROR(IF(AND(F283&lt;&gt;"",G283&lt;&gt;"",H283&lt;&gt;""),ABS(H283-F283)/ABS(F283-G283),""),"")</f>
        <v/>
      </c>
      <c r="L283" s="20" t="n"/>
      <c r="M283" s="21" t="n"/>
      <c r="N283" s="21" t="n"/>
      <c r="O283" s="24">
        <f>IFERROR(IF(AND(M283&lt;&gt;"",F283&lt;&gt;"",I283&lt;&gt;""),IF(D283="Long",(M283-F283)*I283-IF(N283&lt;&gt;"",N283,0),IF(D283="Short",(F283-M283)*I283-IF(N283&lt;&gt;"",N283,0),"")),""),"")</f>
        <v/>
      </c>
      <c r="P283" s="25">
        <f>IFERROR(IF(AND(O283&lt;&gt;"",F283&lt;&gt;"",I283&lt;&gt;""),O283/(F283*I283),""),"")</f>
        <v/>
      </c>
      <c r="Q283" s="26">
        <f>IFERROR(IF(AND(O283&lt;&gt;"",J283&lt;&gt;"",J283&lt;&gt;0),O283/J283,""),"")</f>
        <v/>
      </c>
      <c r="R283" s="27">
        <f>IFERROR(IF(AND(L283&lt;&gt;"",B283&lt;&gt;""),L283-B283,""),"")</f>
        <v/>
      </c>
      <c r="S283" s="19" t="n"/>
      <c r="T283" s="19" t="n"/>
      <c r="U283" s="17">
        <f>IF(O283&lt;&gt;"",282,"")</f>
        <v/>
      </c>
      <c r="V283" s="18">
        <f>IF(O283&lt;&gt;"",V282+O283,V282)</f>
        <v/>
      </c>
    </row>
    <row r="284">
      <c r="A284" s="8" t="n"/>
      <c r="B284" s="9" t="n"/>
      <c r="C284" s="8" t="n"/>
      <c r="D284" s="8" t="n"/>
      <c r="E284" s="8" t="n"/>
      <c r="F284" s="10" t="n"/>
      <c r="G284" s="10" t="n"/>
      <c r="H284" s="10" t="n"/>
      <c r="I284" s="11" t="n"/>
      <c r="J284" s="10">
        <f>IFERROR(IF(AND(F284&lt;&gt;"",G284&lt;&gt;"",I284&lt;&gt;""),ABS(F284-G284)*I284,""),"")</f>
        <v/>
      </c>
      <c r="K284" s="12">
        <f>IFERROR(IF(AND(F284&lt;&gt;"",G284&lt;&gt;"",H284&lt;&gt;""),ABS(H284-F284)/ABS(F284-G284),""),"")</f>
        <v/>
      </c>
      <c r="L284" s="9" t="n"/>
      <c r="M284" s="10" t="n"/>
      <c r="N284" s="10" t="n"/>
      <c r="O284" s="13">
        <f>IFERROR(IF(AND(M284&lt;&gt;"",F284&lt;&gt;"",I284&lt;&gt;""),IF(D284="Long",(M284-F284)*I284-IF(N284&lt;&gt;"",N284,0),IF(D284="Short",(F284-M284)*I284-IF(N284&lt;&gt;"",N284,0),"")),""),"")</f>
        <v/>
      </c>
      <c r="P284" s="14">
        <f>IFERROR(IF(AND(O284&lt;&gt;"",F284&lt;&gt;"",I284&lt;&gt;""),O284/(F284*I284),""),"")</f>
        <v/>
      </c>
      <c r="Q284" s="15">
        <f>IFERROR(IF(AND(O284&lt;&gt;"",J284&lt;&gt;"",J284&lt;&gt;0),O284/J284,""),"")</f>
        <v/>
      </c>
      <c r="R284" s="16">
        <f>IFERROR(IF(AND(L284&lt;&gt;"",B284&lt;&gt;""),L284-B284,""),"")</f>
        <v/>
      </c>
      <c r="S284" s="8" t="n"/>
      <c r="T284" s="8" t="n"/>
      <c r="U284" s="17">
        <f>IF(O284&lt;&gt;"",283,"")</f>
        <v/>
      </c>
      <c r="V284" s="18">
        <f>IF(O284&lt;&gt;"",V283+O284,V283)</f>
        <v/>
      </c>
    </row>
    <row r="285">
      <c r="A285" s="19" t="n"/>
      <c r="B285" s="20" t="n"/>
      <c r="C285" s="19" t="n"/>
      <c r="D285" s="19" t="n"/>
      <c r="E285" s="19" t="n"/>
      <c r="F285" s="21" t="n"/>
      <c r="G285" s="21" t="n"/>
      <c r="H285" s="21" t="n"/>
      <c r="I285" s="22" t="n"/>
      <c r="J285" s="21">
        <f>IFERROR(IF(AND(F285&lt;&gt;"",G285&lt;&gt;"",I285&lt;&gt;""),ABS(F285-G285)*I285,""),"")</f>
        <v/>
      </c>
      <c r="K285" s="23">
        <f>IFERROR(IF(AND(F285&lt;&gt;"",G285&lt;&gt;"",H285&lt;&gt;""),ABS(H285-F285)/ABS(F285-G285),""),"")</f>
        <v/>
      </c>
      <c r="L285" s="20" t="n"/>
      <c r="M285" s="21" t="n"/>
      <c r="N285" s="21" t="n"/>
      <c r="O285" s="24">
        <f>IFERROR(IF(AND(M285&lt;&gt;"",F285&lt;&gt;"",I285&lt;&gt;""),IF(D285="Long",(M285-F285)*I285-IF(N285&lt;&gt;"",N285,0),IF(D285="Short",(F285-M285)*I285-IF(N285&lt;&gt;"",N285,0),"")),""),"")</f>
        <v/>
      </c>
      <c r="P285" s="25">
        <f>IFERROR(IF(AND(O285&lt;&gt;"",F285&lt;&gt;"",I285&lt;&gt;""),O285/(F285*I285),""),"")</f>
        <v/>
      </c>
      <c r="Q285" s="26">
        <f>IFERROR(IF(AND(O285&lt;&gt;"",J285&lt;&gt;"",J285&lt;&gt;0),O285/J285,""),"")</f>
        <v/>
      </c>
      <c r="R285" s="27">
        <f>IFERROR(IF(AND(L285&lt;&gt;"",B285&lt;&gt;""),L285-B285,""),"")</f>
        <v/>
      </c>
      <c r="S285" s="19" t="n"/>
      <c r="T285" s="19" t="n"/>
      <c r="U285" s="17">
        <f>IF(O285&lt;&gt;"",284,"")</f>
        <v/>
      </c>
      <c r="V285" s="18">
        <f>IF(O285&lt;&gt;"",V284+O285,V284)</f>
        <v/>
      </c>
    </row>
    <row r="286">
      <c r="A286" s="8" t="n"/>
      <c r="B286" s="9" t="n"/>
      <c r="C286" s="8" t="n"/>
      <c r="D286" s="8" t="n"/>
      <c r="E286" s="8" t="n"/>
      <c r="F286" s="10" t="n"/>
      <c r="G286" s="10" t="n"/>
      <c r="H286" s="10" t="n"/>
      <c r="I286" s="11" t="n"/>
      <c r="J286" s="10">
        <f>IFERROR(IF(AND(F286&lt;&gt;"",G286&lt;&gt;"",I286&lt;&gt;""),ABS(F286-G286)*I286,""),"")</f>
        <v/>
      </c>
      <c r="K286" s="12">
        <f>IFERROR(IF(AND(F286&lt;&gt;"",G286&lt;&gt;"",H286&lt;&gt;""),ABS(H286-F286)/ABS(F286-G286),""),"")</f>
        <v/>
      </c>
      <c r="L286" s="9" t="n"/>
      <c r="M286" s="10" t="n"/>
      <c r="N286" s="10" t="n"/>
      <c r="O286" s="13">
        <f>IFERROR(IF(AND(M286&lt;&gt;"",F286&lt;&gt;"",I286&lt;&gt;""),IF(D286="Long",(M286-F286)*I286-IF(N286&lt;&gt;"",N286,0),IF(D286="Short",(F286-M286)*I286-IF(N286&lt;&gt;"",N286,0),"")),""),"")</f>
        <v/>
      </c>
      <c r="P286" s="14">
        <f>IFERROR(IF(AND(O286&lt;&gt;"",F286&lt;&gt;"",I286&lt;&gt;""),O286/(F286*I286),""),"")</f>
        <v/>
      </c>
      <c r="Q286" s="15">
        <f>IFERROR(IF(AND(O286&lt;&gt;"",J286&lt;&gt;"",J286&lt;&gt;0),O286/J286,""),"")</f>
        <v/>
      </c>
      <c r="R286" s="16">
        <f>IFERROR(IF(AND(L286&lt;&gt;"",B286&lt;&gt;""),L286-B286,""),"")</f>
        <v/>
      </c>
      <c r="S286" s="8" t="n"/>
      <c r="T286" s="8" t="n"/>
      <c r="U286" s="17">
        <f>IF(O286&lt;&gt;"",285,"")</f>
        <v/>
      </c>
      <c r="V286" s="18">
        <f>IF(O286&lt;&gt;"",V285+O286,V285)</f>
        <v/>
      </c>
    </row>
    <row r="287">
      <c r="A287" s="19" t="n"/>
      <c r="B287" s="20" t="n"/>
      <c r="C287" s="19" t="n"/>
      <c r="D287" s="19" t="n"/>
      <c r="E287" s="19" t="n"/>
      <c r="F287" s="21" t="n"/>
      <c r="G287" s="21" t="n"/>
      <c r="H287" s="21" t="n"/>
      <c r="I287" s="22" t="n"/>
      <c r="J287" s="21">
        <f>IFERROR(IF(AND(F287&lt;&gt;"",G287&lt;&gt;"",I287&lt;&gt;""),ABS(F287-G287)*I287,""),"")</f>
        <v/>
      </c>
      <c r="K287" s="23">
        <f>IFERROR(IF(AND(F287&lt;&gt;"",G287&lt;&gt;"",H287&lt;&gt;""),ABS(H287-F287)/ABS(F287-G287),""),"")</f>
        <v/>
      </c>
      <c r="L287" s="20" t="n"/>
      <c r="M287" s="21" t="n"/>
      <c r="N287" s="21" t="n"/>
      <c r="O287" s="24">
        <f>IFERROR(IF(AND(M287&lt;&gt;"",F287&lt;&gt;"",I287&lt;&gt;""),IF(D287="Long",(M287-F287)*I287-IF(N287&lt;&gt;"",N287,0),IF(D287="Short",(F287-M287)*I287-IF(N287&lt;&gt;"",N287,0),"")),""),"")</f>
        <v/>
      </c>
      <c r="P287" s="25">
        <f>IFERROR(IF(AND(O287&lt;&gt;"",F287&lt;&gt;"",I287&lt;&gt;""),O287/(F287*I287),""),"")</f>
        <v/>
      </c>
      <c r="Q287" s="26">
        <f>IFERROR(IF(AND(O287&lt;&gt;"",J287&lt;&gt;"",J287&lt;&gt;0),O287/J287,""),"")</f>
        <v/>
      </c>
      <c r="R287" s="27">
        <f>IFERROR(IF(AND(L287&lt;&gt;"",B287&lt;&gt;""),L287-B287,""),"")</f>
        <v/>
      </c>
      <c r="S287" s="19" t="n"/>
      <c r="T287" s="19" t="n"/>
      <c r="U287" s="17">
        <f>IF(O287&lt;&gt;"",286,"")</f>
        <v/>
      </c>
      <c r="V287" s="18">
        <f>IF(O287&lt;&gt;"",V286+O287,V286)</f>
        <v/>
      </c>
    </row>
    <row r="288">
      <c r="A288" s="8" t="n"/>
      <c r="B288" s="9" t="n"/>
      <c r="C288" s="8" t="n"/>
      <c r="D288" s="8" t="n"/>
      <c r="E288" s="8" t="n"/>
      <c r="F288" s="10" t="n"/>
      <c r="G288" s="10" t="n"/>
      <c r="H288" s="10" t="n"/>
      <c r="I288" s="11" t="n"/>
      <c r="J288" s="10">
        <f>IFERROR(IF(AND(F288&lt;&gt;"",G288&lt;&gt;"",I288&lt;&gt;""),ABS(F288-G288)*I288,""),"")</f>
        <v/>
      </c>
      <c r="K288" s="12">
        <f>IFERROR(IF(AND(F288&lt;&gt;"",G288&lt;&gt;"",H288&lt;&gt;""),ABS(H288-F288)/ABS(F288-G288),""),"")</f>
        <v/>
      </c>
      <c r="L288" s="9" t="n"/>
      <c r="M288" s="10" t="n"/>
      <c r="N288" s="10" t="n"/>
      <c r="O288" s="13">
        <f>IFERROR(IF(AND(M288&lt;&gt;"",F288&lt;&gt;"",I288&lt;&gt;""),IF(D288="Long",(M288-F288)*I288-IF(N288&lt;&gt;"",N288,0),IF(D288="Short",(F288-M288)*I288-IF(N288&lt;&gt;"",N288,0),"")),""),"")</f>
        <v/>
      </c>
      <c r="P288" s="14">
        <f>IFERROR(IF(AND(O288&lt;&gt;"",F288&lt;&gt;"",I288&lt;&gt;""),O288/(F288*I288),""),"")</f>
        <v/>
      </c>
      <c r="Q288" s="15">
        <f>IFERROR(IF(AND(O288&lt;&gt;"",J288&lt;&gt;"",J288&lt;&gt;0),O288/J288,""),"")</f>
        <v/>
      </c>
      <c r="R288" s="16">
        <f>IFERROR(IF(AND(L288&lt;&gt;"",B288&lt;&gt;""),L288-B288,""),"")</f>
        <v/>
      </c>
      <c r="S288" s="8" t="n"/>
      <c r="T288" s="8" t="n"/>
      <c r="U288" s="17">
        <f>IF(O288&lt;&gt;"",287,"")</f>
        <v/>
      </c>
      <c r="V288" s="18">
        <f>IF(O288&lt;&gt;"",V287+O288,V287)</f>
        <v/>
      </c>
    </row>
    <row r="289">
      <c r="A289" s="19" t="n"/>
      <c r="B289" s="20" t="n"/>
      <c r="C289" s="19" t="n"/>
      <c r="D289" s="19" t="n"/>
      <c r="E289" s="19" t="n"/>
      <c r="F289" s="21" t="n"/>
      <c r="G289" s="21" t="n"/>
      <c r="H289" s="21" t="n"/>
      <c r="I289" s="22" t="n"/>
      <c r="J289" s="21">
        <f>IFERROR(IF(AND(F289&lt;&gt;"",G289&lt;&gt;"",I289&lt;&gt;""),ABS(F289-G289)*I289,""),"")</f>
        <v/>
      </c>
      <c r="K289" s="23">
        <f>IFERROR(IF(AND(F289&lt;&gt;"",G289&lt;&gt;"",H289&lt;&gt;""),ABS(H289-F289)/ABS(F289-G289),""),"")</f>
        <v/>
      </c>
      <c r="L289" s="20" t="n"/>
      <c r="M289" s="21" t="n"/>
      <c r="N289" s="21" t="n"/>
      <c r="O289" s="24">
        <f>IFERROR(IF(AND(M289&lt;&gt;"",F289&lt;&gt;"",I289&lt;&gt;""),IF(D289="Long",(M289-F289)*I289-IF(N289&lt;&gt;"",N289,0),IF(D289="Short",(F289-M289)*I289-IF(N289&lt;&gt;"",N289,0),"")),""),"")</f>
        <v/>
      </c>
      <c r="P289" s="25">
        <f>IFERROR(IF(AND(O289&lt;&gt;"",F289&lt;&gt;"",I289&lt;&gt;""),O289/(F289*I289),""),"")</f>
        <v/>
      </c>
      <c r="Q289" s="26">
        <f>IFERROR(IF(AND(O289&lt;&gt;"",J289&lt;&gt;"",J289&lt;&gt;0),O289/J289,""),"")</f>
        <v/>
      </c>
      <c r="R289" s="27">
        <f>IFERROR(IF(AND(L289&lt;&gt;"",B289&lt;&gt;""),L289-B289,""),"")</f>
        <v/>
      </c>
      <c r="S289" s="19" t="n"/>
      <c r="T289" s="19" t="n"/>
      <c r="U289" s="17">
        <f>IF(O289&lt;&gt;"",288,"")</f>
        <v/>
      </c>
      <c r="V289" s="18">
        <f>IF(O289&lt;&gt;"",V288+O289,V288)</f>
        <v/>
      </c>
    </row>
    <row r="290">
      <c r="A290" s="8" t="n"/>
      <c r="B290" s="9" t="n"/>
      <c r="C290" s="8" t="n"/>
      <c r="D290" s="8" t="n"/>
      <c r="E290" s="8" t="n"/>
      <c r="F290" s="10" t="n"/>
      <c r="G290" s="10" t="n"/>
      <c r="H290" s="10" t="n"/>
      <c r="I290" s="11" t="n"/>
      <c r="J290" s="10">
        <f>IFERROR(IF(AND(F290&lt;&gt;"",G290&lt;&gt;"",I290&lt;&gt;""),ABS(F290-G290)*I290,""),"")</f>
        <v/>
      </c>
      <c r="K290" s="12">
        <f>IFERROR(IF(AND(F290&lt;&gt;"",G290&lt;&gt;"",H290&lt;&gt;""),ABS(H290-F290)/ABS(F290-G290),""),"")</f>
        <v/>
      </c>
      <c r="L290" s="9" t="n"/>
      <c r="M290" s="10" t="n"/>
      <c r="N290" s="10" t="n"/>
      <c r="O290" s="13">
        <f>IFERROR(IF(AND(M290&lt;&gt;"",F290&lt;&gt;"",I290&lt;&gt;""),IF(D290="Long",(M290-F290)*I290-IF(N290&lt;&gt;"",N290,0),IF(D290="Short",(F290-M290)*I290-IF(N290&lt;&gt;"",N290,0),"")),""),"")</f>
        <v/>
      </c>
      <c r="P290" s="14">
        <f>IFERROR(IF(AND(O290&lt;&gt;"",F290&lt;&gt;"",I290&lt;&gt;""),O290/(F290*I290),""),"")</f>
        <v/>
      </c>
      <c r="Q290" s="15">
        <f>IFERROR(IF(AND(O290&lt;&gt;"",J290&lt;&gt;"",J290&lt;&gt;0),O290/J290,""),"")</f>
        <v/>
      </c>
      <c r="R290" s="16">
        <f>IFERROR(IF(AND(L290&lt;&gt;"",B290&lt;&gt;""),L290-B290,""),"")</f>
        <v/>
      </c>
      <c r="S290" s="8" t="n"/>
      <c r="T290" s="8" t="n"/>
      <c r="U290" s="17">
        <f>IF(O290&lt;&gt;"",289,"")</f>
        <v/>
      </c>
      <c r="V290" s="18">
        <f>IF(O290&lt;&gt;"",V289+O290,V289)</f>
        <v/>
      </c>
    </row>
    <row r="291">
      <c r="A291" s="19" t="n"/>
      <c r="B291" s="20" t="n"/>
      <c r="C291" s="19" t="n"/>
      <c r="D291" s="19" t="n"/>
      <c r="E291" s="19" t="n"/>
      <c r="F291" s="21" t="n"/>
      <c r="G291" s="21" t="n"/>
      <c r="H291" s="21" t="n"/>
      <c r="I291" s="22" t="n"/>
      <c r="J291" s="21">
        <f>IFERROR(IF(AND(F291&lt;&gt;"",G291&lt;&gt;"",I291&lt;&gt;""),ABS(F291-G291)*I291,""),"")</f>
        <v/>
      </c>
      <c r="K291" s="23">
        <f>IFERROR(IF(AND(F291&lt;&gt;"",G291&lt;&gt;"",H291&lt;&gt;""),ABS(H291-F291)/ABS(F291-G291),""),"")</f>
        <v/>
      </c>
      <c r="L291" s="20" t="n"/>
      <c r="M291" s="21" t="n"/>
      <c r="N291" s="21" t="n"/>
      <c r="O291" s="24">
        <f>IFERROR(IF(AND(M291&lt;&gt;"",F291&lt;&gt;"",I291&lt;&gt;""),IF(D291="Long",(M291-F291)*I291-IF(N291&lt;&gt;"",N291,0),IF(D291="Short",(F291-M291)*I291-IF(N291&lt;&gt;"",N291,0),"")),""),"")</f>
        <v/>
      </c>
      <c r="P291" s="25">
        <f>IFERROR(IF(AND(O291&lt;&gt;"",F291&lt;&gt;"",I291&lt;&gt;""),O291/(F291*I291),""),"")</f>
        <v/>
      </c>
      <c r="Q291" s="26">
        <f>IFERROR(IF(AND(O291&lt;&gt;"",J291&lt;&gt;"",J291&lt;&gt;0),O291/J291,""),"")</f>
        <v/>
      </c>
      <c r="R291" s="27">
        <f>IFERROR(IF(AND(L291&lt;&gt;"",B291&lt;&gt;""),L291-B291,""),"")</f>
        <v/>
      </c>
      <c r="S291" s="19" t="n"/>
      <c r="T291" s="19" t="n"/>
      <c r="U291" s="17">
        <f>IF(O291&lt;&gt;"",290,"")</f>
        <v/>
      </c>
      <c r="V291" s="18">
        <f>IF(O291&lt;&gt;"",V290+O291,V290)</f>
        <v/>
      </c>
    </row>
    <row r="292">
      <c r="A292" s="8" t="n"/>
      <c r="B292" s="9" t="n"/>
      <c r="C292" s="8" t="n"/>
      <c r="D292" s="8" t="n"/>
      <c r="E292" s="8" t="n"/>
      <c r="F292" s="10" t="n"/>
      <c r="G292" s="10" t="n"/>
      <c r="H292" s="10" t="n"/>
      <c r="I292" s="11" t="n"/>
      <c r="J292" s="10">
        <f>IFERROR(IF(AND(F292&lt;&gt;"",G292&lt;&gt;"",I292&lt;&gt;""),ABS(F292-G292)*I292,""),"")</f>
        <v/>
      </c>
      <c r="K292" s="12">
        <f>IFERROR(IF(AND(F292&lt;&gt;"",G292&lt;&gt;"",H292&lt;&gt;""),ABS(H292-F292)/ABS(F292-G292),""),"")</f>
        <v/>
      </c>
      <c r="L292" s="9" t="n"/>
      <c r="M292" s="10" t="n"/>
      <c r="N292" s="10" t="n"/>
      <c r="O292" s="13">
        <f>IFERROR(IF(AND(M292&lt;&gt;"",F292&lt;&gt;"",I292&lt;&gt;""),IF(D292="Long",(M292-F292)*I292-IF(N292&lt;&gt;"",N292,0),IF(D292="Short",(F292-M292)*I292-IF(N292&lt;&gt;"",N292,0),"")),""),"")</f>
        <v/>
      </c>
      <c r="P292" s="14">
        <f>IFERROR(IF(AND(O292&lt;&gt;"",F292&lt;&gt;"",I292&lt;&gt;""),O292/(F292*I292),""),"")</f>
        <v/>
      </c>
      <c r="Q292" s="15">
        <f>IFERROR(IF(AND(O292&lt;&gt;"",J292&lt;&gt;"",J292&lt;&gt;0),O292/J292,""),"")</f>
        <v/>
      </c>
      <c r="R292" s="16">
        <f>IFERROR(IF(AND(L292&lt;&gt;"",B292&lt;&gt;""),L292-B292,""),"")</f>
        <v/>
      </c>
      <c r="S292" s="8" t="n"/>
      <c r="T292" s="8" t="n"/>
      <c r="U292" s="17">
        <f>IF(O292&lt;&gt;"",291,"")</f>
        <v/>
      </c>
      <c r="V292" s="18">
        <f>IF(O292&lt;&gt;"",V291+O292,V291)</f>
        <v/>
      </c>
    </row>
    <row r="293">
      <c r="A293" s="19" t="n"/>
      <c r="B293" s="20" t="n"/>
      <c r="C293" s="19" t="n"/>
      <c r="D293" s="19" t="n"/>
      <c r="E293" s="19" t="n"/>
      <c r="F293" s="21" t="n"/>
      <c r="G293" s="21" t="n"/>
      <c r="H293" s="21" t="n"/>
      <c r="I293" s="22" t="n"/>
      <c r="J293" s="21">
        <f>IFERROR(IF(AND(F293&lt;&gt;"",G293&lt;&gt;"",I293&lt;&gt;""),ABS(F293-G293)*I293,""),"")</f>
        <v/>
      </c>
      <c r="K293" s="23">
        <f>IFERROR(IF(AND(F293&lt;&gt;"",G293&lt;&gt;"",H293&lt;&gt;""),ABS(H293-F293)/ABS(F293-G293),""),"")</f>
        <v/>
      </c>
      <c r="L293" s="20" t="n"/>
      <c r="M293" s="21" t="n"/>
      <c r="N293" s="21" t="n"/>
      <c r="O293" s="24">
        <f>IFERROR(IF(AND(M293&lt;&gt;"",F293&lt;&gt;"",I293&lt;&gt;""),IF(D293="Long",(M293-F293)*I293-IF(N293&lt;&gt;"",N293,0),IF(D293="Short",(F293-M293)*I293-IF(N293&lt;&gt;"",N293,0),"")),""),"")</f>
        <v/>
      </c>
      <c r="P293" s="25">
        <f>IFERROR(IF(AND(O293&lt;&gt;"",F293&lt;&gt;"",I293&lt;&gt;""),O293/(F293*I293),""),"")</f>
        <v/>
      </c>
      <c r="Q293" s="26">
        <f>IFERROR(IF(AND(O293&lt;&gt;"",J293&lt;&gt;"",J293&lt;&gt;0),O293/J293,""),"")</f>
        <v/>
      </c>
      <c r="R293" s="27">
        <f>IFERROR(IF(AND(L293&lt;&gt;"",B293&lt;&gt;""),L293-B293,""),"")</f>
        <v/>
      </c>
      <c r="S293" s="19" t="n"/>
      <c r="T293" s="19" t="n"/>
      <c r="U293" s="17">
        <f>IF(O293&lt;&gt;"",292,"")</f>
        <v/>
      </c>
      <c r="V293" s="18">
        <f>IF(O293&lt;&gt;"",V292+O293,V292)</f>
        <v/>
      </c>
    </row>
    <row r="294">
      <c r="A294" s="8" t="n"/>
      <c r="B294" s="9" t="n"/>
      <c r="C294" s="8" t="n"/>
      <c r="D294" s="8" t="n"/>
      <c r="E294" s="8" t="n"/>
      <c r="F294" s="10" t="n"/>
      <c r="G294" s="10" t="n"/>
      <c r="H294" s="10" t="n"/>
      <c r="I294" s="11" t="n"/>
      <c r="J294" s="10">
        <f>IFERROR(IF(AND(F294&lt;&gt;"",G294&lt;&gt;"",I294&lt;&gt;""),ABS(F294-G294)*I294,""),"")</f>
        <v/>
      </c>
      <c r="K294" s="12">
        <f>IFERROR(IF(AND(F294&lt;&gt;"",G294&lt;&gt;"",H294&lt;&gt;""),ABS(H294-F294)/ABS(F294-G294),""),"")</f>
        <v/>
      </c>
      <c r="L294" s="9" t="n"/>
      <c r="M294" s="10" t="n"/>
      <c r="N294" s="10" t="n"/>
      <c r="O294" s="13">
        <f>IFERROR(IF(AND(M294&lt;&gt;"",F294&lt;&gt;"",I294&lt;&gt;""),IF(D294="Long",(M294-F294)*I294-IF(N294&lt;&gt;"",N294,0),IF(D294="Short",(F294-M294)*I294-IF(N294&lt;&gt;"",N294,0),"")),""),"")</f>
        <v/>
      </c>
      <c r="P294" s="14">
        <f>IFERROR(IF(AND(O294&lt;&gt;"",F294&lt;&gt;"",I294&lt;&gt;""),O294/(F294*I294),""),"")</f>
        <v/>
      </c>
      <c r="Q294" s="15">
        <f>IFERROR(IF(AND(O294&lt;&gt;"",J294&lt;&gt;"",J294&lt;&gt;0),O294/J294,""),"")</f>
        <v/>
      </c>
      <c r="R294" s="16">
        <f>IFERROR(IF(AND(L294&lt;&gt;"",B294&lt;&gt;""),L294-B294,""),"")</f>
        <v/>
      </c>
      <c r="S294" s="8" t="n"/>
      <c r="T294" s="8" t="n"/>
      <c r="U294" s="17">
        <f>IF(O294&lt;&gt;"",293,"")</f>
        <v/>
      </c>
      <c r="V294" s="18">
        <f>IF(O294&lt;&gt;"",V293+O294,V293)</f>
        <v/>
      </c>
    </row>
    <row r="295">
      <c r="A295" s="19" t="n"/>
      <c r="B295" s="20" t="n"/>
      <c r="C295" s="19" t="n"/>
      <c r="D295" s="19" t="n"/>
      <c r="E295" s="19" t="n"/>
      <c r="F295" s="21" t="n"/>
      <c r="G295" s="21" t="n"/>
      <c r="H295" s="21" t="n"/>
      <c r="I295" s="22" t="n"/>
      <c r="J295" s="21">
        <f>IFERROR(IF(AND(F295&lt;&gt;"",G295&lt;&gt;"",I295&lt;&gt;""),ABS(F295-G295)*I295,""),"")</f>
        <v/>
      </c>
      <c r="K295" s="23">
        <f>IFERROR(IF(AND(F295&lt;&gt;"",G295&lt;&gt;"",H295&lt;&gt;""),ABS(H295-F295)/ABS(F295-G295),""),"")</f>
        <v/>
      </c>
      <c r="L295" s="20" t="n"/>
      <c r="M295" s="21" t="n"/>
      <c r="N295" s="21" t="n"/>
      <c r="O295" s="24">
        <f>IFERROR(IF(AND(M295&lt;&gt;"",F295&lt;&gt;"",I295&lt;&gt;""),IF(D295="Long",(M295-F295)*I295-IF(N295&lt;&gt;"",N295,0),IF(D295="Short",(F295-M295)*I295-IF(N295&lt;&gt;"",N295,0),"")),""),"")</f>
        <v/>
      </c>
      <c r="P295" s="25">
        <f>IFERROR(IF(AND(O295&lt;&gt;"",F295&lt;&gt;"",I295&lt;&gt;""),O295/(F295*I295),""),"")</f>
        <v/>
      </c>
      <c r="Q295" s="26">
        <f>IFERROR(IF(AND(O295&lt;&gt;"",J295&lt;&gt;"",J295&lt;&gt;0),O295/J295,""),"")</f>
        <v/>
      </c>
      <c r="R295" s="27">
        <f>IFERROR(IF(AND(L295&lt;&gt;"",B295&lt;&gt;""),L295-B295,""),"")</f>
        <v/>
      </c>
      <c r="S295" s="19" t="n"/>
      <c r="T295" s="19" t="n"/>
      <c r="U295" s="17">
        <f>IF(O295&lt;&gt;"",294,"")</f>
        <v/>
      </c>
      <c r="V295" s="18">
        <f>IF(O295&lt;&gt;"",V294+O295,V294)</f>
        <v/>
      </c>
    </row>
    <row r="296">
      <c r="A296" s="8" t="n"/>
      <c r="B296" s="9" t="n"/>
      <c r="C296" s="8" t="n"/>
      <c r="D296" s="8" t="n"/>
      <c r="E296" s="8" t="n"/>
      <c r="F296" s="10" t="n"/>
      <c r="G296" s="10" t="n"/>
      <c r="H296" s="10" t="n"/>
      <c r="I296" s="11" t="n"/>
      <c r="J296" s="10">
        <f>IFERROR(IF(AND(F296&lt;&gt;"",G296&lt;&gt;"",I296&lt;&gt;""),ABS(F296-G296)*I296,""),"")</f>
        <v/>
      </c>
      <c r="K296" s="12">
        <f>IFERROR(IF(AND(F296&lt;&gt;"",G296&lt;&gt;"",H296&lt;&gt;""),ABS(H296-F296)/ABS(F296-G296),""),"")</f>
        <v/>
      </c>
      <c r="L296" s="9" t="n"/>
      <c r="M296" s="10" t="n"/>
      <c r="N296" s="10" t="n"/>
      <c r="O296" s="13">
        <f>IFERROR(IF(AND(M296&lt;&gt;"",F296&lt;&gt;"",I296&lt;&gt;""),IF(D296="Long",(M296-F296)*I296-IF(N296&lt;&gt;"",N296,0),IF(D296="Short",(F296-M296)*I296-IF(N296&lt;&gt;"",N296,0),"")),""),"")</f>
        <v/>
      </c>
      <c r="P296" s="14">
        <f>IFERROR(IF(AND(O296&lt;&gt;"",F296&lt;&gt;"",I296&lt;&gt;""),O296/(F296*I296),""),"")</f>
        <v/>
      </c>
      <c r="Q296" s="15">
        <f>IFERROR(IF(AND(O296&lt;&gt;"",J296&lt;&gt;"",J296&lt;&gt;0),O296/J296,""),"")</f>
        <v/>
      </c>
      <c r="R296" s="16">
        <f>IFERROR(IF(AND(L296&lt;&gt;"",B296&lt;&gt;""),L296-B296,""),"")</f>
        <v/>
      </c>
      <c r="S296" s="8" t="n"/>
      <c r="T296" s="8" t="n"/>
      <c r="U296" s="17">
        <f>IF(O296&lt;&gt;"",295,"")</f>
        <v/>
      </c>
      <c r="V296" s="18">
        <f>IF(O296&lt;&gt;"",V295+O296,V295)</f>
        <v/>
      </c>
    </row>
    <row r="297">
      <c r="A297" s="19" t="n"/>
      <c r="B297" s="20" t="n"/>
      <c r="C297" s="19" t="n"/>
      <c r="D297" s="19" t="n"/>
      <c r="E297" s="19" t="n"/>
      <c r="F297" s="21" t="n"/>
      <c r="G297" s="21" t="n"/>
      <c r="H297" s="21" t="n"/>
      <c r="I297" s="22" t="n"/>
      <c r="J297" s="21">
        <f>IFERROR(IF(AND(F297&lt;&gt;"",G297&lt;&gt;"",I297&lt;&gt;""),ABS(F297-G297)*I297,""),"")</f>
        <v/>
      </c>
      <c r="K297" s="23">
        <f>IFERROR(IF(AND(F297&lt;&gt;"",G297&lt;&gt;"",H297&lt;&gt;""),ABS(H297-F297)/ABS(F297-G297),""),"")</f>
        <v/>
      </c>
      <c r="L297" s="20" t="n"/>
      <c r="M297" s="21" t="n"/>
      <c r="N297" s="21" t="n"/>
      <c r="O297" s="24">
        <f>IFERROR(IF(AND(M297&lt;&gt;"",F297&lt;&gt;"",I297&lt;&gt;""),IF(D297="Long",(M297-F297)*I297-IF(N297&lt;&gt;"",N297,0),IF(D297="Short",(F297-M297)*I297-IF(N297&lt;&gt;"",N297,0),"")),""),"")</f>
        <v/>
      </c>
      <c r="P297" s="25">
        <f>IFERROR(IF(AND(O297&lt;&gt;"",F297&lt;&gt;"",I297&lt;&gt;""),O297/(F297*I297),""),"")</f>
        <v/>
      </c>
      <c r="Q297" s="26">
        <f>IFERROR(IF(AND(O297&lt;&gt;"",J297&lt;&gt;"",J297&lt;&gt;0),O297/J297,""),"")</f>
        <v/>
      </c>
      <c r="R297" s="27">
        <f>IFERROR(IF(AND(L297&lt;&gt;"",B297&lt;&gt;""),L297-B297,""),"")</f>
        <v/>
      </c>
      <c r="S297" s="19" t="n"/>
      <c r="T297" s="19" t="n"/>
      <c r="U297" s="17">
        <f>IF(O297&lt;&gt;"",296,"")</f>
        <v/>
      </c>
      <c r="V297" s="18">
        <f>IF(O297&lt;&gt;"",V296+O297,V296)</f>
        <v/>
      </c>
    </row>
    <row r="298">
      <c r="A298" s="8" t="n"/>
      <c r="B298" s="9" t="n"/>
      <c r="C298" s="8" t="n"/>
      <c r="D298" s="8" t="n"/>
      <c r="E298" s="8" t="n"/>
      <c r="F298" s="10" t="n"/>
      <c r="G298" s="10" t="n"/>
      <c r="H298" s="10" t="n"/>
      <c r="I298" s="11" t="n"/>
      <c r="J298" s="10">
        <f>IFERROR(IF(AND(F298&lt;&gt;"",G298&lt;&gt;"",I298&lt;&gt;""),ABS(F298-G298)*I298,""),"")</f>
        <v/>
      </c>
      <c r="K298" s="12">
        <f>IFERROR(IF(AND(F298&lt;&gt;"",G298&lt;&gt;"",H298&lt;&gt;""),ABS(H298-F298)/ABS(F298-G298),""),"")</f>
        <v/>
      </c>
      <c r="L298" s="9" t="n"/>
      <c r="M298" s="10" t="n"/>
      <c r="N298" s="10" t="n"/>
      <c r="O298" s="13">
        <f>IFERROR(IF(AND(M298&lt;&gt;"",F298&lt;&gt;"",I298&lt;&gt;""),IF(D298="Long",(M298-F298)*I298-IF(N298&lt;&gt;"",N298,0),IF(D298="Short",(F298-M298)*I298-IF(N298&lt;&gt;"",N298,0),"")),""),"")</f>
        <v/>
      </c>
      <c r="P298" s="14">
        <f>IFERROR(IF(AND(O298&lt;&gt;"",F298&lt;&gt;"",I298&lt;&gt;""),O298/(F298*I298),""),"")</f>
        <v/>
      </c>
      <c r="Q298" s="15">
        <f>IFERROR(IF(AND(O298&lt;&gt;"",J298&lt;&gt;"",J298&lt;&gt;0),O298/J298,""),"")</f>
        <v/>
      </c>
      <c r="R298" s="16">
        <f>IFERROR(IF(AND(L298&lt;&gt;"",B298&lt;&gt;""),L298-B298,""),"")</f>
        <v/>
      </c>
      <c r="S298" s="8" t="n"/>
      <c r="T298" s="8" t="n"/>
      <c r="U298" s="17">
        <f>IF(O298&lt;&gt;"",297,"")</f>
        <v/>
      </c>
      <c r="V298" s="18">
        <f>IF(O298&lt;&gt;"",V297+O298,V297)</f>
        <v/>
      </c>
    </row>
    <row r="299">
      <c r="A299" s="19" t="n"/>
      <c r="B299" s="20" t="n"/>
      <c r="C299" s="19" t="n"/>
      <c r="D299" s="19" t="n"/>
      <c r="E299" s="19" t="n"/>
      <c r="F299" s="21" t="n"/>
      <c r="G299" s="21" t="n"/>
      <c r="H299" s="21" t="n"/>
      <c r="I299" s="22" t="n"/>
      <c r="J299" s="21">
        <f>IFERROR(IF(AND(F299&lt;&gt;"",G299&lt;&gt;"",I299&lt;&gt;""),ABS(F299-G299)*I299,""),"")</f>
        <v/>
      </c>
      <c r="K299" s="23">
        <f>IFERROR(IF(AND(F299&lt;&gt;"",G299&lt;&gt;"",H299&lt;&gt;""),ABS(H299-F299)/ABS(F299-G299),""),"")</f>
        <v/>
      </c>
      <c r="L299" s="20" t="n"/>
      <c r="M299" s="21" t="n"/>
      <c r="N299" s="21" t="n"/>
      <c r="O299" s="24">
        <f>IFERROR(IF(AND(M299&lt;&gt;"",F299&lt;&gt;"",I299&lt;&gt;""),IF(D299="Long",(M299-F299)*I299-IF(N299&lt;&gt;"",N299,0),IF(D299="Short",(F299-M299)*I299-IF(N299&lt;&gt;"",N299,0),"")),""),"")</f>
        <v/>
      </c>
      <c r="P299" s="25">
        <f>IFERROR(IF(AND(O299&lt;&gt;"",F299&lt;&gt;"",I299&lt;&gt;""),O299/(F299*I299),""),"")</f>
        <v/>
      </c>
      <c r="Q299" s="26">
        <f>IFERROR(IF(AND(O299&lt;&gt;"",J299&lt;&gt;"",J299&lt;&gt;0),O299/J299,""),"")</f>
        <v/>
      </c>
      <c r="R299" s="27">
        <f>IFERROR(IF(AND(L299&lt;&gt;"",B299&lt;&gt;""),L299-B299,""),"")</f>
        <v/>
      </c>
      <c r="S299" s="19" t="n"/>
      <c r="T299" s="19" t="n"/>
      <c r="U299" s="17">
        <f>IF(O299&lt;&gt;"",298,"")</f>
        <v/>
      </c>
      <c r="V299" s="18">
        <f>IF(O299&lt;&gt;"",V298+O299,V298)</f>
        <v/>
      </c>
    </row>
    <row r="300">
      <c r="A300" s="8" t="n"/>
      <c r="B300" s="9" t="n"/>
      <c r="C300" s="8" t="n"/>
      <c r="D300" s="8" t="n"/>
      <c r="E300" s="8" t="n"/>
      <c r="F300" s="10" t="n"/>
      <c r="G300" s="10" t="n"/>
      <c r="H300" s="10" t="n"/>
      <c r="I300" s="11" t="n"/>
      <c r="J300" s="10">
        <f>IFERROR(IF(AND(F300&lt;&gt;"",G300&lt;&gt;"",I300&lt;&gt;""),ABS(F300-G300)*I300,""),"")</f>
        <v/>
      </c>
      <c r="K300" s="12">
        <f>IFERROR(IF(AND(F300&lt;&gt;"",G300&lt;&gt;"",H300&lt;&gt;""),ABS(H300-F300)/ABS(F300-G300),""),"")</f>
        <v/>
      </c>
      <c r="L300" s="9" t="n"/>
      <c r="M300" s="10" t="n"/>
      <c r="N300" s="10" t="n"/>
      <c r="O300" s="13">
        <f>IFERROR(IF(AND(M300&lt;&gt;"",F300&lt;&gt;"",I300&lt;&gt;""),IF(D300="Long",(M300-F300)*I300-IF(N300&lt;&gt;"",N300,0),IF(D300="Short",(F300-M300)*I300-IF(N300&lt;&gt;"",N300,0),"")),""),"")</f>
        <v/>
      </c>
      <c r="P300" s="14">
        <f>IFERROR(IF(AND(O300&lt;&gt;"",F300&lt;&gt;"",I300&lt;&gt;""),O300/(F300*I300),""),"")</f>
        <v/>
      </c>
      <c r="Q300" s="15">
        <f>IFERROR(IF(AND(O300&lt;&gt;"",J300&lt;&gt;"",J300&lt;&gt;0),O300/J300,""),"")</f>
        <v/>
      </c>
      <c r="R300" s="16">
        <f>IFERROR(IF(AND(L300&lt;&gt;"",B300&lt;&gt;""),L300-B300,""),"")</f>
        <v/>
      </c>
      <c r="S300" s="8" t="n"/>
      <c r="T300" s="8" t="n"/>
      <c r="U300" s="17">
        <f>IF(O300&lt;&gt;"",299,"")</f>
        <v/>
      </c>
      <c r="V300" s="18">
        <f>IF(O300&lt;&gt;"",V299+O300,V299)</f>
        <v/>
      </c>
    </row>
    <row r="301">
      <c r="A301" s="19" t="n"/>
      <c r="B301" s="20" t="n"/>
      <c r="C301" s="19" t="n"/>
      <c r="D301" s="19" t="n"/>
      <c r="E301" s="19" t="n"/>
      <c r="F301" s="21" t="n"/>
      <c r="G301" s="21" t="n"/>
      <c r="H301" s="21" t="n"/>
      <c r="I301" s="22" t="n"/>
      <c r="J301" s="21">
        <f>IFERROR(IF(AND(F301&lt;&gt;"",G301&lt;&gt;"",I301&lt;&gt;""),ABS(F301-G301)*I301,""),"")</f>
        <v/>
      </c>
      <c r="K301" s="23">
        <f>IFERROR(IF(AND(F301&lt;&gt;"",G301&lt;&gt;"",H301&lt;&gt;""),ABS(H301-F301)/ABS(F301-G301),""),"")</f>
        <v/>
      </c>
      <c r="L301" s="20" t="n"/>
      <c r="M301" s="21" t="n"/>
      <c r="N301" s="21" t="n"/>
      <c r="O301" s="24">
        <f>IFERROR(IF(AND(M301&lt;&gt;"",F301&lt;&gt;"",I301&lt;&gt;""),IF(D301="Long",(M301-F301)*I301-IF(N301&lt;&gt;"",N301,0),IF(D301="Short",(F301-M301)*I301-IF(N301&lt;&gt;"",N301,0),"")),""),"")</f>
        <v/>
      </c>
      <c r="P301" s="25">
        <f>IFERROR(IF(AND(O301&lt;&gt;"",F301&lt;&gt;"",I301&lt;&gt;""),O301/(F301*I301),""),"")</f>
        <v/>
      </c>
      <c r="Q301" s="26">
        <f>IFERROR(IF(AND(O301&lt;&gt;"",J301&lt;&gt;"",J301&lt;&gt;0),O301/J301,""),"")</f>
        <v/>
      </c>
      <c r="R301" s="27">
        <f>IFERROR(IF(AND(L301&lt;&gt;"",B301&lt;&gt;""),L301-B301,""),"")</f>
        <v/>
      </c>
      <c r="S301" s="19" t="n"/>
      <c r="T301" s="19" t="n"/>
      <c r="U301" s="17">
        <f>IF(O301&lt;&gt;"",300,"")</f>
        <v/>
      </c>
      <c r="V301" s="18">
        <f>IF(O301&lt;&gt;"",V300+O301,V300)</f>
        <v/>
      </c>
    </row>
    <row r="302">
      <c r="A302" s="8" t="n"/>
      <c r="B302" s="9" t="n"/>
      <c r="C302" s="8" t="n"/>
      <c r="D302" s="8" t="n"/>
      <c r="E302" s="8" t="n"/>
      <c r="F302" s="10" t="n"/>
      <c r="G302" s="10" t="n"/>
      <c r="H302" s="10" t="n"/>
      <c r="I302" s="11" t="n"/>
      <c r="J302" s="10">
        <f>IFERROR(IF(AND(F302&lt;&gt;"",G302&lt;&gt;"",I302&lt;&gt;""),ABS(F302-G302)*I302,""),"")</f>
        <v/>
      </c>
      <c r="K302" s="12">
        <f>IFERROR(IF(AND(F302&lt;&gt;"",G302&lt;&gt;"",H302&lt;&gt;""),ABS(H302-F302)/ABS(F302-G302),""),"")</f>
        <v/>
      </c>
      <c r="L302" s="9" t="n"/>
      <c r="M302" s="10" t="n"/>
      <c r="N302" s="10" t="n"/>
      <c r="O302" s="13">
        <f>IFERROR(IF(AND(M302&lt;&gt;"",F302&lt;&gt;"",I302&lt;&gt;""),IF(D302="Long",(M302-F302)*I302-IF(N302&lt;&gt;"",N302,0),IF(D302="Short",(F302-M302)*I302-IF(N302&lt;&gt;"",N302,0),"")),""),"")</f>
        <v/>
      </c>
      <c r="P302" s="14">
        <f>IFERROR(IF(AND(O302&lt;&gt;"",F302&lt;&gt;"",I302&lt;&gt;""),O302/(F302*I302),""),"")</f>
        <v/>
      </c>
      <c r="Q302" s="15">
        <f>IFERROR(IF(AND(O302&lt;&gt;"",J302&lt;&gt;"",J302&lt;&gt;0),O302/J302,""),"")</f>
        <v/>
      </c>
      <c r="R302" s="16">
        <f>IFERROR(IF(AND(L302&lt;&gt;"",B302&lt;&gt;""),L302-B302,""),"")</f>
        <v/>
      </c>
      <c r="S302" s="8" t="n"/>
      <c r="T302" s="8" t="n"/>
      <c r="U302" s="17">
        <f>IF(O302&lt;&gt;"",301,"")</f>
        <v/>
      </c>
      <c r="V302" s="18">
        <f>IF(O302&lt;&gt;"",V301+O302,V301)</f>
        <v/>
      </c>
    </row>
    <row r="303">
      <c r="A303" s="19" t="n"/>
      <c r="B303" s="20" t="n"/>
      <c r="C303" s="19" t="n"/>
      <c r="D303" s="19" t="n"/>
      <c r="E303" s="19" t="n"/>
      <c r="F303" s="21" t="n"/>
      <c r="G303" s="21" t="n"/>
      <c r="H303" s="21" t="n"/>
      <c r="I303" s="22" t="n"/>
      <c r="J303" s="21">
        <f>IFERROR(IF(AND(F303&lt;&gt;"",G303&lt;&gt;"",I303&lt;&gt;""),ABS(F303-G303)*I303,""),"")</f>
        <v/>
      </c>
      <c r="K303" s="23">
        <f>IFERROR(IF(AND(F303&lt;&gt;"",G303&lt;&gt;"",H303&lt;&gt;""),ABS(H303-F303)/ABS(F303-G303),""),"")</f>
        <v/>
      </c>
      <c r="L303" s="20" t="n"/>
      <c r="M303" s="21" t="n"/>
      <c r="N303" s="21" t="n"/>
      <c r="O303" s="24">
        <f>IFERROR(IF(AND(M303&lt;&gt;"",F303&lt;&gt;"",I303&lt;&gt;""),IF(D303="Long",(M303-F303)*I303-IF(N303&lt;&gt;"",N303,0),IF(D303="Short",(F303-M303)*I303-IF(N303&lt;&gt;"",N303,0),"")),""),"")</f>
        <v/>
      </c>
      <c r="P303" s="25">
        <f>IFERROR(IF(AND(O303&lt;&gt;"",F303&lt;&gt;"",I303&lt;&gt;""),O303/(F303*I303),""),"")</f>
        <v/>
      </c>
      <c r="Q303" s="26">
        <f>IFERROR(IF(AND(O303&lt;&gt;"",J303&lt;&gt;"",J303&lt;&gt;0),O303/J303,""),"")</f>
        <v/>
      </c>
      <c r="R303" s="27">
        <f>IFERROR(IF(AND(L303&lt;&gt;"",B303&lt;&gt;""),L303-B303,""),"")</f>
        <v/>
      </c>
      <c r="S303" s="19" t="n"/>
      <c r="T303" s="19" t="n"/>
      <c r="U303" s="17">
        <f>IF(O303&lt;&gt;"",302,"")</f>
        <v/>
      </c>
      <c r="V303" s="18">
        <f>IF(O303&lt;&gt;"",V302+O303,V302)</f>
        <v/>
      </c>
    </row>
    <row r="304">
      <c r="A304" s="8" t="n"/>
      <c r="B304" s="9" t="n"/>
      <c r="C304" s="8" t="n"/>
      <c r="D304" s="8" t="n"/>
      <c r="E304" s="8" t="n"/>
      <c r="F304" s="10" t="n"/>
      <c r="G304" s="10" t="n"/>
      <c r="H304" s="10" t="n"/>
      <c r="I304" s="11" t="n"/>
      <c r="J304" s="10">
        <f>IFERROR(IF(AND(F304&lt;&gt;"",G304&lt;&gt;"",I304&lt;&gt;""),ABS(F304-G304)*I304,""),"")</f>
        <v/>
      </c>
      <c r="K304" s="12">
        <f>IFERROR(IF(AND(F304&lt;&gt;"",G304&lt;&gt;"",H304&lt;&gt;""),ABS(H304-F304)/ABS(F304-G304),""),"")</f>
        <v/>
      </c>
      <c r="L304" s="9" t="n"/>
      <c r="M304" s="10" t="n"/>
      <c r="N304" s="10" t="n"/>
      <c r="O304" s="13">
        <f>IFERROR(IF(AND(M304&lt;&gt;"",F304&lt;&gt;"",I304&lt;&gt;""),IF(D304="Long",(M304-F304)*I304-IF(N304&lt;&gt;"",N304,0),IF(D304="Short",(F304-M304)*I304-IF(N304&lt;&gt;"",N304,0),"")),""),"")</f>
        <v/>
      </c>
      <c r="P304" s="14">
        <f>IFERROR(IF(AND(O304&lt;&gt;"",F304&lt;&gt;"",I304&lt;&gt;""),O304/(F304*I304),""),"")</f>
        <v/>
      </c>
      <c r="Q304" s="15">
        <f>IFERROR(IF(AND(O304&lt;&gt;"",J304&lt;&gt;"",J304&lt;&gt;0),O304/J304,""),"")</f>
        <v/>
      </c>
      <c r="R304" s="16">
        <f>IFERROR(IF(AND(L304&lt;&gt;"",B304&lt;&gt;""),L304-B304,""),"")</f>
        <v/>
      </c>
      <c r="S304" s="8" t="n"/>
      <c r="T304" s="8" t="n"/>
      <c r="U304" s="17">
        <f>IF(O304&lt;&gt;"",303,"")</f>
        <v/>
      </c>
      <c r="V304" s="18">
        <f>IF(O304&lt;&gt;"",V303+O304,V303)</f>
        <v/>
      </c>
    </row>
    <row r="305">
      <c r="A305" s="19" t="n"/>
      <c r="B305" s="20" t="n"/>
      <c r="C305" s="19" t="n"/>
      <c r="D305" s="19" t="n"/>
      <c r="E305" s="19" t="n"/>
      <c r="F305" s="21" t="n"/>
      <c r="G305" s="21" t="n"/>
      <c r="H305" s="21" t="n"/>
      <c r="I305" s="22" t="n"/>
      <c r="J305" s="21">
        <f>IFERROR(IF(AND(F305&lt;&gt;"",G305&lt;&gt;"",I305&lt;&gt;""),ABS(F305-G305)*I305,""),"")</f>
        <v/>
      </c>
      <c r="K305" s="23">
        <f>IFERROR(IF(AND(F305&lt;&gt;"",G305&lt;&gt;"",H305&lt;&gt;""),ABS(H305-F305)/ABS(F305-G305),""),"")</f>
        <v/>
      </c>
      <c r="L305" s="20" t="n"/>
      <c r="M305" s="21" t="n"/>
      <c r="N305" s="21" t="n"/>
      <c r="O305" s="24">
        <f>IFERROR(IF(AND(M305&lt;&gt;"",F305&lt;&gt;"",I305&lt;&gt;""),IF(D305="Long",(M305-F305)*I305-IF(N305&lt;&gt;"",N305,0),IF(D305="Short",(F305-M305)*I305-IF(N305&lt;&gt;"",N305,0),"")),""),"")</f>
        <v/>
      </c>
      <c r="P305" s="25">
        <f>IFERROR(IF(AND(O305&lt;&gt;"",F305&lt;&gt;"",I305&lt;&gt;""),O305/(F305*I305),""),"")</f>
        <v/>
      </c>
      <c r="Q305" s="26">
        <f>IFERROR(IF(AND(O305&lt;&gt;"",J305&lt;&gt;"",J305&lt;&gt;0),O305/J305,""),"")</f>
        <v/>
      </c>
      <c r="R305" s="27">
        <f>IFERROR(IF(AND(L305&lt;&gt;"",B305&lt;&gt;""),L305-B305,""),"")</f>
        <v/>
      </c>
      <c r="S305" s="19" t="n"/>
      <c r="T305" s="19" t="n"/>
      <c r="U305" s="17">
        <f>IF(O305&lt;&gt;"",304,"")</f>
        <v/>
      </c>
      <c r="V305" s="18">
        <f>IF(O305&lt;&gt;"",V304+O305,V304)</f>
        <v/>
      </c>
    </row>
    <row r="306">
      <c r="A306" s="8" t="n"/>
      <c r="B306" s="9" t="n"/>
      <c r="C306" s="8" t="n"/>
      <c r="D306" s="8" t="n"/>
      <c r="E306" s="8" t="n"/>
      <c r="F306" s="10" t="n"/>
      <c r="G306" s="10" t="n"/>
      <c r="H306" s="10" t="n"/>
      <c r="I306" s="11" t="n"/>
      <c r="J306" s="10">
        <f>IFERROR(IF(AND(F306&lt;&gt;"",G306&lt;&gt;"",I306&lt;&gt;""),ABS(F306-G306)*I306,""),"")</f>
        <v/>
      </c>
      <c r="K306" s="12">
        <f>IFERROR(IF(AND(F306&lt;&gt;"",G306&lt;&gt;"",H306&lt;&gt;""),ABS(H306-F306)/ABS(F306-G306),""),"")</f>
        <v/>
      </c>
      <c r="L306" s="9" t="n"/>
      <c r="M306" s="10" t="n"/>
      <c r="N306" s="10" t="n"/>
      <c r="O306" s="13">
        <f>IFERROR(IF(AND(M306&lt;&gt;"",F306&lt;&gt;"",I306&lt;&gt;""),IF(D306="Long",(M306-F306)*I306-IF(N306&lt;&gt;"",N306,0),IF(D306="Short",(F306-M306)*I306-IF(N306&lt;&gt;"",N306,0),"")),""),"")</f>
        <v/>
      </c>
      <c r="P306" s="14">
        <f>IFERROR(IF(AND(O306&lt;&gt;"",F306&lt;&gt;"",I306&lt;&gt;""),O306/(F306*I306),""),"")</f>
        <v/>
      </c>
      <c r="Q306" s="15">
        <f>IFERROR(IF(AND(O306&lt;&gt;"",J306&lt;&gt;"",J306&lt;&gt;0),O306/J306,""),"")</f>
        <v/>
      </c>
      <c r="R306" s="16">
        <f>IFERROR(IF(AND(L306&lt;&gt;"",B306&lt;&gt;""),L306-B306,""),"")</f>
        <v/>
      </c>
      <c r="S306" s="8" t="n"/>
      <c r="T306" s="8" t="n"/>
      <c r="U306" s="17">
        <f>IF(O306&lt;&gt;"",305,"")</f>
        <v/>
      </c>
      <c r="V306" s="18">
        <f>IF(O306&lt;&gt;"",V305+O306,V305)</f>
        <v/>
      </c>
    </row>
    <row r="307">
      <c r="A307" s="19" t="n"/>
      <c r="B307" s="20" t="n"/>
      <c r="C307" s="19" t="n"/>
      <c r="D307" s="19" t="n"/>
      <c r="E307" s="19" t="n"/>
      <c r="F307" s="21" t="n"/>
      <c r="G307" s="21" t="n"/>
      <c r="H307" s="21" t="n"/>
      <c r="I307" s="22" t="n"/>
      <c r="J307" s="21">
        <f>IFERROR(IF(AND(F307&lt;&gt;"",G307&lt;&gt;"",I307&lt;&gt;""),ABS(F307-G307)*I307,""),"")</f>
        <v/>
      </c>
      <c r="K307" s="23">
        <f>IFERROR(IF(AND(F307&lt;&gt;"",G307&lt;&gt;"",H307&lt;&gt;""),ABS(H307-F307)/ABS(F307-G307),""),"")</f>
        <v/>
      </c>
      <c r="L307" s="20" t="n"/>
      <c r="M307" s="21" t="n"/>
      <c r="N307" s="21" t="n"/>
      <c r="O307" s="24">
        <f>IFERROR(IF(AND(M307&lt;&gt;"",F307&lt;&gt;"",I307&lt;&gt;""),IF(D307="Long",(M307-F307)*I307-IF(N307&lt;&gt;"",N307,0),IF(D307="Short",(F307-M307)*I307-IF(N307&lt;&gt;"",N307,0),"")),""),"")</f>
        <v/>
      </c>
      <c r="P307" s="25">
        <f>IFERROR(IF(AND(O307&lt;&gt;"",F307&lt;&gt;"",I307&lt;&gt;""),O307/(F307*I307),""),"")</f>
        <v/>
      </c>
      <c r="Q307" s="26">
        <f>IFERROR(IF(AND(O307&lt;&gt;"",J307&lt;&gt;"",J307&lt;&gt;0),O307/J307,""),"")</f>
        <v/>
      </c>
      <c r="R307" s="27">
        <f>IFERROR(IF(AND(L307&lt;&gt;"",B307&lt;&gt;""),L307-B307,""),"")</f>
        <v/>
      </c>
      <c r="S307" s="19" t="n"/>
      <c r="T307" s="19" t="n"/>
      <c r="U307" s="17">
        <f>IF(O307&lt;&gt;"",306,"")</f>
        <v/>
      </c>
      <c r="V307" s="18">
        <f>IF(O307&lt;&gt;"",V306+O307,V306)</f>
        <v/>
      </c>
    </row>
    <row r="308">
      <c r="A308" s="8" t="n"/>
      <c r="B308" s="9" t="n"/>
      <c r="C308" s="8" t="n"/>
      <c r="D308" s="8" t="n"/>
      <c r="E308" s="8" t="n"/>
      <c r="F308" s="10" t="n"/>
      <c r="G308" s="10" t="n"/>
      <c r="H308" s="10" t="n"/>
      <c r="I308" s="11" t="n"/>
      <c r="J308" s="10">
        <f>IFERROR(IF(AND(F308&lt;&gt;"",G308&lt;&gt;"",I308&lt;&gt;""),ABS(F308-G308)*I308,""),"")</f>
        <v/>
      </c>
      <c r="K308" s="12">
        <f>IFERROR(IF(AND(F308&lt;&gt;"",G308&lt;&gt;"",H308&lt;&gt;""),ABS(H308-F308)/ABS(F308-G308),""),"")</f>
        <v/>
      </c>
      <c r="L308" s="9" t="n"/>
      <c r="M308" s="10" t="n"/>
      <c r="N308" s="10" t="n"/>
      <c r="O308" s="13">
        <f>IFERROR(IF(AND(M308&lt;&gt;"",F308&lt;&gt;"",I308&lt;&gt;""),IF(D308="Long",(M308-F308)*I308-IF(N308&lt;&gt;"",N308,0),IF(D308="Short",(F308-M308)*I308-IF(N308&lt;&gt;"",N308,0),"")),""),"")</f>
        <v/>
      </c>
      <c r="P308" s="14">
        <f>IFERROR(IF(AND(O308&lt;&gt;"",F308&lt;&gt;"",I308&lt;&gt;""),O308/(F308*I308),""),"")</f>
        <v/>
      </c>
      <c r="Q308" s="15">
        <f>IFERROR(IF(AND(O308&lt;&gt;"",J308&lt;&gt;"",J308&lt;&gt;0),O308/J308,""),"")</f>
        <v/>
      </c>
      <c r="R308" s="16">
        <f>IFERROR(IF(AND(L308&lt;&gt;"",B308&lt;&gt;""),L308-B308,""),"")</f>
        <v/>
      </c>
      <c r="S308" s="8" t="n"/>
      <c r="T308" s="8" t="n"/>
      <c r="U308" s="17">
        <f>IF(O308&lt;&gt;"",307,"")</f>
        <v/>
      </c>
      <c r="V308" s="18">
        <f>IF(O308&lt;&gt;"",V307+O308,V307)</f>
        <v/>
      </c>
    </row>
    <row r="309">
      <c r="A309" s="19" t="n"/>
      <c r="B309" s="20" t="n"/>
      <c r="C309" s="19" t="n"/>
      <c r="D309" s="19" t="n"/>
      <c r="E309" s="19" t="n"/>
      <c r="F309" s="21" t="n"/>
      <c r="G309" s="21" t="n"/>
      <c r="H309" s="21" t="n"/>
      <c r="I309" s="22" t="n"/>
      <c r="J309" s="21">
        <f>IFERROR(IF(AND(F309&lt;&gt;"",G309&lt;&gt;"",I309&lt;&gt;""),ABS(F309-G309)*I309,""),"")</f>
        <v/>
      </c>
      <c r="K309" s="23">
        <f>IFERROR(IF(AND(F309&lt;&gt;"",G309&lt;&gt;"",H309&lt;&gt;""),ABS(H309-F309)/ABS(F309-G309),""),"")</f>
        <v/>
      </c>
      <c r="L309" s="20" t="n"/>
      <c r="M309" s="21" t="n"/>
      <c r="N309" s="21" t="n"/>
      <c r="O309" s="24">
        <f>IFERROR(IF(AND(M309&lt;&gt;"",F309&lt;&gt;"",I309&lt;&gt;""),IF(D309="Long",(M309-F309)*I309-IF(N309&lt;&gt;"",N309,0),IF(D309="Short",(F309-M309)*I309-IF(N309&lt;&gt;"",N309,0),"")),""),"")</f>
        <v/>
      </c>
      <c r="P309" s="25">
        <f>IFERROR(IF(AND(O309&lt;&gt;"",F309&lt;&gt;"",I309&lt;&gt;""),O309/(F309*I309),""),"")</f>
        <v/>
      </c>
      <c r="Q309" s="26">
        <f>IFERROR(IF(AND(O309&lt;&gt;"",J309&lt;&gt;"",J309&lt;&gt;0),O309/J309,""),"")</f>
        <v/>
      </c>
      <c r="R309" s="27">
        <f>IFERROR(IF(AND(L309&lt;&gt;"",B309&lt;&gt;""),L309-B309,""),"")</f>
        <v/>
      </c>
      <c r="S309" s="19" t="n"/>
      <c r="T309" s="19" t="n"/>
      <c r="U309" s="17">
        <f>IF(O309&lt;&gt;"",308,"")</f>
        <v/>
      </c>
      <c r="V309" s="18">
        <f>IF(O309&lt;&gt;"",V308+O309,V308)</f>
        <v/>
      </c>
    </row>
    <row r="310">
      <c r="A310" s="8" t="n"/>
      <c r="B310" s="9" t="n"/>
      <c r="C310" s="8" t="n"/>
      <c r="D310" s="8" t="n"/>
      <c r="E310" s="8" t="n"/>
      <c r="F310" s="10" t="n"/>
      <c r="G310" s="10" t="n"/>
      <c r="H310" s="10" t="n"/>
      <c r="I310" s="11" t="n"/>
      <c r="J310" s="10">
        <f>IFERROR(IF(AND(F310&lt;&gt;"",G310&lt;&gt;"",I310&lt;&gt;""),ABS(F310-G310)*I310,""),"")</f>
        <v/>
      </c>
      <c r="K310" s="12">
        <f>IFERROR(IF(AND(F310&lt;&gt;"",G310&lt;&gt;"",H310&lt;&gt;""),ABS(H310-F310)/ABS(F310-G310),""),"")</f>
        <v/>
      </c>
      <c r="L310" s="9" t="n"/>
      <c r="M310" s="10" t="n"/>
      <c r="N310" s="10" t="n"/>
      <c r="O310" s="13">
        <f>IFERROR(IF(AND(M310&lt;&gt;"",F310&lt;&gt;"",I310&lt;&gt;""),IF(D310="Long",(M310-F310)*I310-IF(N310&lt;&gt;"",N310,0),IF(D310="Short",(F310-M310)*I310-IF(N310&lt;&gt;"",N310,0),"")),""),"")</f>
        <v/>
      </c>
      <c r="P310" s="14">
        <f>IFERROR(IF(AND(O310&lt;&gt;"",F310&lt;&gt;"",I310&lt;&gt;""),O310/(F310*I310),""),"")</f>
        <v/>
      </c>
      <c r="Q310" s="15">
        <f>IFERROR(IF(AND(O310&lt;&gt;"",J310&lt;&gt;"",J310&lt;&gt;0),O310/J310,""),"")</f>
        <v/>
      </c>
      <c r="R310" s="16">
        <f>IFERROR(IF(AND(L310&lt;&gt;"",B310&lt;&gt;""),L310-B310,""),"")</f>
        <v/>
      </c>
      <c r="S310" s="8" t="n"/>
      <c r="T310" s="8" t="n"/>
      <c r="U310" s="17">
        <f>IF(O310&lt;&gt;"",309,"")</f>
        <v/>
      </c>
      <c r="V310" s="18">
        <f>IF(O310&lt;&gt;"",V309+O310,V309)</f>
        <v/>
      </c>
    </row>
    <row r="311">
      <c r="A311" s="19" t="n"/>
      <c r="B311" s="20" t="n"/>
      <c r="C311" s="19" t="n"/>
      <c r="D311" s="19" t="n"/>
      <c r="E311" s="19" t="n"/>
      <c r="F311" s="21" t="n"/>
      <c r="G311" s="21" t="n"/>
      <c r="H311" s="21" t="n"/>
      <c r="I311" s="22" t="n"/>
      <c r="J311" s="21">
        <f>IFERROR(IF(AND(F311&lt;&gt;"",G311&lt;&gt;"",I311&lt;&gt;""),ABS(F311-G311)*I311,""),"")</f>
        <v/>
      </c>
      <c r="K311" s="23">
        <f>IFERROR(IF(AND(F311&lt;&gt;"",G311&lt;&gt;"",H311&lt;&gt;""),ABS(H311-F311)/ABS(F311-G311),""),"")</f>
        <v/>
      </c>
      <c r="L311" s="20" t="n"/>
      <c r="M311" s="21" t="n"/>
      <c r="N311" s="21" t="n"/>
      <c r="O311" s="24">
        <f>IFERROR(IF(AND(M311&lt;&gt;"",F311&lt;&gt;"",I311&lt;&gt;""),IF(D311="Long",(M311-F311)*I311-IF(N311&lt;&gt;"",N311,0),IF(D311="Short",(F311-M311)*I311-IF(N311&lt;&gt;"",N311,0),"")),""),"")</f>
        <v/>
      </c>
      <c r="P311" s="25">
        <f>IFERROR(IF(AND(O311&lt;&gt;"",F311&lt;&gt;"",I311&lt;&gt;""),O311/(F311*I311),""),"")</f>
        <v/>
      </c>
      <c r="Q311" s="26">
        <f>IFERROR(IF(AND(O311&lt;&gt;"",J311&lt;&gt;"",J311&lt;&gt;0),O311/J311,""),"")</f>
        <v/>
      </c>
      <c r="R311" s="27">
        <f>IFERROR(IF(AND(L311&lt;&gt;"",B311&lt;&gt;""),L311-B311,""),"")</f>
        <v/>
      </c>
      <c r="S311" s="19" t="n"/>
      <c r="T311" s="19" t="n"/>
      <c r="U311" s="17">
        <f>IF(O311&lt;&gt;"",310,"")</f>
        <v/>
      </c>
      <c r="V311" s="18">
        <f>IF(O311&lt;&gt;"",V310+O311,V310)</f>
        <v/>
      </c>
    </row>
    <row r="312">
      <c r="A312" s="8" t="n"/>
      <c r="B312" s="9" t="n"/>
      <c r="C312" s="8" t="n"/>
      <c r="D312" s="8" t="n"/>
      <c r="E312" s="8" t="n"/>
      <c r="F312" s="10" t="n"/>
      <c r="G312" s="10" t="n"/>
      <c r="H312" s="10" t="n"/>
      <c r="I312" s="11" t="n"/>
      <c r="J312" s="10">
        <f>IFERROR(IF(AND(F312&lt;&gt;"",G312&lt;&gt;"",I312&lt;&gt;""),ABS(F312-G312)*I312,""),"")</f>
        <v/>
      </c>
      <c r="K312" s="12">
        <f>IFERROR(IF(AND(F312&lt;&gt;"",G312&lt;&gt;"",H312&lt;&gt;""),ABS(H312-F312)/ABS(F312-G312),""),"")</f>
        <v/>
      </c>
      <c r="L312" s="9" t="n"/>
      <c r="M312" s="10" t="n"/>
      <c r="N312" s="10" t="n"/>
      <c r="O312" s="13">
        <f>IFERROR(IF(AND(M312&lt;&gt;"",F312&lt;&gt;"",I312&lt;&gt;""),IF(D312="Long",(M312-F312)*I312-IF(N312&lt;&gt;"",N312,0),IF(D312="Short",(F312-M312)*I312-IF(N312&lt;&gt;"",N312,0),"")),""),"")</f>
        <v/>
      </c>
      <c r="P312" s="14">
        <f>IFERROR(IF(AND(O312&lt;&gt;"",F312&lt;&gt;"",I312&lt;&gt;""),O312/(F312*I312),""),"")</f>
        <v/>
      </c>
      <c r="Q312" s="15">
        <f>IFERROR(IF(AND(O312&lt;&gt;"",J312&lt;&gt;"",J312&lt;&gt;0),O312/J312,""),"")</f>
        <v/>
      </c>
      <c r="R312" s="16">
        <f>IFERROR(IF(AND(L312&lt;&gt;"",B312&lt;&gt;""),L312-B312,""),"")</f>
        <v/>
      </c>
      <c r="S312" s="8" t="n"/>
      <c r="T312" s="8" t="n"/>
      <c r="U312" s="17">
        <f>IF(O312&lt;&gt;"",311,"")</f>
        <v/>
      </c>
      <c r="V312" s="18">
        <f>IF(O312&lt;&gt;"",V311+O312,V311)</f>
        <v/>
      </c>
    </row>
    <row r="313">
      <c r="A313" s="19" t="n"/>
      <c r="B313" s="20" t="n"/>
      <c r="C313" s="19" t="n"/>
      <c r="D313" s="19" t="n"/>
      <c r="E313" s="19" t="n"/>
      <c r="F313" s="21" t="n"/>
      <c r="G313" s="21" t="n"/>
      <c r="H313" s="21" t="n"/>
      <c r="I313" s="22" t="n"/>
      <c r="J313" s="21">
        <f>IFERROR(IF(AND(F313&lt;&gt;"",G313&lt;&gt;"",I313&lt;&gt;""),ABS(F313-G313)*I313,""),"")</f>
        <v/>
      </c>
      <c r="K313" s="23">
        <f>IFERROR(IF(AND(F313&lt;&gt;"",G313&lt;&gt;"",H313&lt;&gt;""),ABS(H313-F313)/ABS(F313-G313),""),"")</f>
        <v/>
      </c>
      <c r="L313" s="20" t="n"/>
      <c r="M313" s="21" t="n"/>
      <c r="N313" s="21" t="n"/>
      <c r="O313" s="24">
        <f>IFERROR(IF(AND(M313&lt;&gt;"",F313&lt;&gt;"",I313&lt;&gt;""),IF(D313="Long",(M313-F313)*I313-IF(N313&lt;&gt;"",N313,0),IF(D313="Short",(F313-M313)*I313-IF(N313&lt;&gt;"",N313,0),"")),""),"")</f>
        <v/>
      </c>
      <c r="P313" s="25">
        <f>IFERROR(IF(AND(O313&lt;&gt;"",F313&lt;&gt;"",I313&lt;&gt;""),O313/(F313*I313),""),"")</f>
        <v/>
      </c>
      <c r="Q313" s="26">
        <f>IFERROR(IF(AND(O313&lt;&gt;"",J313&lt;&gt;"",J313&lt;&gt;0),O313/J313,""),"")</f>
        <v/>
      </c>
      <c r="R313" s="27">
        <f>IFERROR(IF(AND(L313&lt;&gt;"",B313&lt;&gt;""),L313-B313,""),"")</f>
        <v/>
      </c>
      <c r="S313" s="19" t="n"/>
      <c r="T313" s="19" t="n"/>
      <c r="U313" s="17">
        <f>IF(O313&lt;&gt;"",312,"")</f>
        <v/>
      </c>
      <c r="V313" s="18">
        <f>IF(O313&lt;&gt;"",V312+O313,V312)</f>
        <v/>
      </c>
    </row>
    <row r="314">
      <c r="A314" s="8" t="n"/>
      <c r="B314" s="9" t="n"/>
      <c r="C314" s="8" t="n"/>
      <c r="D314" s="8" t="n"/>
      <c r="E314" s="8" t="n"/>
      <c r="F314" s="10" t="n"/>
      <c r="G314" s="10" t="n"/>
      <c r="H314" s="10" t="n"/>
      <c r="I314" s="11" t="n"/>
      <c r="J314" s="10">
        <f>IFERROR(IF(AND(F314&lt;&gt;"",G314&lt;&gt;"",I314&lt;&gt;""),ABS(F314-G314)*I314,""),"")</f>
        <v/>
      </c>
      <c r="K314" s="12">
        <f>IFERROR(IF(AND(F314&lt;&gt;"",G314&lt;&gt;"",H314&lt;&gt;""),ABS(H314-F314)/ABS(F314-G314),""),"")</f>
        <v/>
      </c>
      <c r="L314" s="9" t="n"/>
      <c r="M314" s="10" t="n"/>
      <c r="N314" s="10" t="n"/>
      <c r="O314" s="13">
        <f>IFERROR(IF(AND(M314&lt;&gt;"",F314&lt;&gt;"",I314&lt;&gt;""),IF(D314="Long",(M314-F314)*I314-IF(N314&lt;&gt;"",N314,0),IF(D314="Short",(F314-M314)*I314-IF(N314&lt;&gt;"",N314,0),"")),""),"")</f>
        <v/>
      </c>
      <c r="P314" s="14">
        <f>IFERROR(IF(AND(O314&lt;&gt;"",F314&lt;&gt;"",I314&lt;&gt;""),O314/(F314*I314),""),"")</f>
        <v/>
      </c>
      <c r="Q314" s="15">
        <f>IFERROR(IF(AND(O314&lt;&gt;"",J314&lt;&gt;"",J314&lt;&gt;0),O314/J314,""),"")</f>
        <v/>
      </c>
      <c r="R314" s="16">
        <f>IFERROR(IF(AND(L314&lt;&gt;"",B314&lt;&gt;""),L314-B314,""),"")</f>
        <v/>
      </c>
      <c r="S314" s="8" t="n"/>
      <c r="T314" s="8" t="n"/>
      <c r="U314" s="17">
        <f>IF(O314&lt;&gt;"",313,"")</f>
        <v/>
      </c>
      <c r="V314" s="18">
        <f>IF(O314&lt;&gt;"",V313+O314,V313)</f>
        <v/>
      </c>
    </row>
    <row r="315">
      <c r="A315" s="19" t="n"/>
      <c r="B315" s="20" t="n"/>
      <c r="C315" s="19" t="n"/>
      <c r="D315" s="19" t="n"/>
      <c r="E315" s="19" t="n"/>
      <c r="F315" s="21" t="n"/>
      <c r="G315" s="21" t="n"/>
      <c r="H315" s="21" t="n"/>
      <c r="I315" s="22" t="n"/>
      <c r="J315" s="21">
        <f>IFERROR(IF(AND(F315&lt;&gt;"",G315&lt;&gt;"",I315&lt;&gt;""),ABS(F315-G315)*I315,""),"")</f>
        <v/>
      </c>
      <c r="K315" s="23">
        <f>IFERROR(IF(AND(F315&lt;&gt;"",G315&lt;&gt;"",H315&lt;&gt;""),ABS(H315-F315)/ABS(F315-G315),""),"")</f>
        <v/>
      </c>
      <c r="L315" s="20" t="n"/>
      <c r="M315" s="21" t="n"/>
      <c r="N315" s="21" t="n"/>
      <c r="O315" s="24">
        <f>IFERROR(IF(AND(M315&lt;&gt;"",F315&lt;&gt;"",I315&lt;&gt;""),IF(D315="Long",(M315-F315)*I315-IF(N315&lt;&gt;"",N315,0),IF(D315="Short",(F315-M315)*I315-IF(N315&lt;&gt;"",N315,0),"")),""),"")</f>
        <v/>
      </c>
      <c r="P315" s="25">
        <f>IFERROR(IF(AND(O315&lt;&gt;"",F315&lt;&gt;"",I315&lt;&gt;""),O315/(F315*I315),""),"")</f>
        <v/>
      </c>
      <c r="Q315" s="26">
        <f>IFERROR(IF(AND(O315&lt;&gt;"",J315&lt;&gt;"",J315&lt;&gt;0),O315/J315,""),"")</f>
        <v/>
      </c>
      <c r="R315" s="27">
        <f>IFERROR(IF(AND(L315&lt;&gt;"",B315&lt;&gt;""),L315-B315,""),"")</f>
        <v/>
      </c>
      <c r="S315" s="19" t="n"/>
      <c r="T315" s="19" t="n"/>
      <c r="U315" s="17">
        <f>IF(O315&lt;&gt;"",314,"")</f>
        <v/>
      </c>
      <c r="V315" s="18">
        <f>IF(O315&lt;&gt;"",V314+O315,V314)</f>
        <v/>
      </c>
    </row>
    <row r="316">
      <c r="A316" s="8" t="n"/>
      <c r="B316" s="9" t="n"/>
      <c r="C316" s="8" t="n"/>
      <c r="D316" s="8" t="n"/>
      <c r="E316" s="8" t="n"/>
      <c r="F316" s="10" t="n"/>
      <c r="G316" s="10" t="n"/>
      <c r="H316" s="10" t="n"/>
      <c r="I316" s="11" t="n"/>
      <c r="J316" s="10">
        <f>IFERROR(IF(AND(F316&lt;&gt;"",G316&lt;&gt;"",I316&lt;&gt;""),ABS(F316-G316)*I316,""),"")</f>
        <v/>
      </c>
      <c r="K316" s="12">
        <f>IFERROR(IF(AND(F316&lt;&gt;"",G316&lt;&gt;"",H316&lt;&gt;""),ABS(H316-F316)/ABS(F316-G316),""),"")</f>
        <v/>
      </c>
      <c r="L316" s="9" t="n"/>
      <c r="M316" s="10" t="n"/>
      <c r="N316" s="10" t="n"/>
      <c r="O316" s="13">
        <f>IFERROR(IF(AND(M316&lt;&gt;"",F316&lt;&gt;"",I316&lt;&gt;""),IF(D316="Long",(M316-F316)*I316-IF(N316&lt;&gt;"",N316,0),IF(D316="Short",(F316-M316)*I316-IF(N316&lt;&gt;"",N316,0),"")),""),"")</f>
        <v/>
      </c>
      <c r="P316" s="14">
        <f>IFERROR(IF(AND(O316&lt;&gt;"",F316&lt;&gt;"",I316&lt;&gt;""),O316/(F316*I316),""),"")</f>
        <v/>
      </c>
      <c r="Q316" s="15">
        <f>IFERROR(IF(AND(O316&lt;&gt;"",J316&lt;&gt;"",J316&lt;&gt;0),O316/J316,""),"")</f>
        <v/>
      </c>
      <c r="R316" s="16">
        <f>IFERROR(IF(AND(L316&lt;&gt;"",B316&lt;&gt;""),L316-B316,""),"")</f>
        <v/>
      </c>
      <c r="S316" s="8" t="n"/>
      <c r="T316" s="8" t="n"/>
      <c r="U316" s="17">
        <f>IF(O316&lt;&gt;"",315,"")</f>
        <v/>
      </c>
      <c r="V316" s="18">
        <f>IF(O316&lt;&gt;"",V315+O316,V315)</f>
        <v/>
      </c>
    </row>
    <row r="317">
      <c r="A317" s="19" t="n"/>
      <c r="B317" s="20" t="n"/>
      <c r="C317" s="19" t="n"/>
      <c r="D317" s="19" t="n"/>
      <c r="E317" s="19" t="n"/>
      <c r="F317" s="21" t="n"/>
      <c r="G317" s="21" t="n"/>
      <c r="H317" s="21" t="n"/>
      <c r="I317" s="22" t="n"/>
      <c r="J317" s="21">
        <f>IFERROR(IF(AND(F317&lt;&gt;"",G317&lt;&gt;"",I317&lt;&gt;""),ABS(F317-G317)*I317,""),"")</f>
        <v/>
      </c>
      <c r="K317" s="23">
        <f>IFERROR(IF(AND(F317&lt;&gt;"",G317&lt;&gt;"",H317&lt;&gt;""),ABS(H317-F317)/ABS(F317-G317),""),"")</f>
        <v/>
      </c>
      <c r="L317" s="20" t="n"/>
      <c r="M317" s="21" t="n"/>
      <c r="N317" s="21" t="n"/>
      <c r="O317" s="24">
        <f>IFERROR(IF(AND(M317&lt;&gt;"",F317&lt;&gt;"",I317&lt;&gt;""),IF(D317="Long",(M317-F317)*I317-IF(N317&lt;&gt;"",N317,0),IF(D317="Short",(F317-M317)*I317-IF(N317&lt;&gt;"",N317,0),"")),""),"")</f>
        <v/>
      </c>
      <c r="P317" s="25">
        <f>IFERROR(IF(AND(O317&lt;&gt;"",F317&lt;&gt;"",I317&lt;&gt;""),O317/(F317*I317),""),"")</f>
        <v/>
      </c>
      <c r="Q317" s="26">
        <f>IFERROR(IF(AND(O317&lt;&gt;"",J317&lt;&gt;"",J317&lt;&gt;0),O317/J317,""),"")</f>
        <v/>
      </c>
      <c r="R317" s="27">
        <f>IFERROR(IF(AND(L317&lt;&gt;"",B317&lt;&gt;""),L317-B317,""),"")</f>
        <v/>
      </c>
      <c r="S317" s="19" t="n"/>
      <c r="T317" s="19" t="n"/>
      <c r="U317" s="17">
        <f>IF(O317&lt;&gt;"",316,"")</f>
        <v/>
      </c>
      <c r="V317" s="18">
        <f>IF(O317&lt;&gt;"",V316+O317,V316)</f>
        <v/>
      </c>
    </row>
    <row r="318">
      <c r="A318" s="8" t="n"/>
      <c r="B318" s="9" t="n"/>
      <c r="C318" s="8" t="n"/>
      <c r="D318" s="8" t="n"/>
      <c r="E318" s="8" t="n"/>
      <c r="F318" s="10" t="n"/>
      <c r="G318" s="10" t="n"/>
      <c r="H318" s="10" t="n"/>
      <c r="I318" s="11" t="n"/>
      <c r="J318" s="10">
        <f>IFERROR(IF(AND(F318&lt;&gt;"",G318&lt;&gt;"",I318&lt;&gt;""),ABS(F318-G318)*I318,""),"")</f>
        <v/>
      </c>
      <c r="K318" s="12">
        <f>IFERROR(IF(AND(F318&lt;&gt;"",G318&lt;&gt;"",H318&lt;&gt;""),ABS(H318-F318)/ABS(F318-G318),""),"")</f>
        <v/>
      </c>
      <c r="L318" s="9" t="n"/>
      <c r="M318" s="10" t="n"/>
      <c r="N318" s="10" t="n"/>
      <c r="O318" s="13">
        <f>IFERROR(IF(AND(M318&lt;&gt;"",F318&lt;&gt;"",I318&lt;&gt;""),IF(D318="Long",(M318-F318)*I318-IF(N318&lt;&gt;"",N318,0),IF(D318="Short",(F318-M318)*I318-IF(N318&lt;&gt;"",N318,0),"")),""),"")</f>
        <v/>
      </c>
      <c r="P318" s="14">
        <f>IFERROR(IF(AND(O318&lt;&gt;"",F318&lt;&gt;"",I318&lt;&gt;""),O318/(F318*I318),""),"")</f>
        <v/>
      </c>
      <c r="Q318" s="15">
        <f>IFERROR(IF(AND(O318&lt;&gt;"",J318&lt;&gt;"",J318&lt;&gt;0),O318/J318,""),"")</f>
        <v/>
      </c>
      <c r="R318" s="16">
        <f>IFERROR(IF(AND(L318&lt;&gt;"",B318&lt;&gt;""),L318-B318,""),"")</f>
        <v/>
      </c>
      <c r="S318" s="8" t="n"/>
      <c r="T318" s="8" t="n"/>
      <c r="U318" s="17">
        <f>IF(O318&lt;&gt;"",317,"")</f>
        <v/>
      </c>
      <c r="V318" s="18">
        <f>IF(O318&lt;&gt;"",V317+O318,V317)</f>
        <v/>
      </c>
    </row>
    <row r="319">
      <c r="A319" s="19" t="n"/>
      <c r="B319" s="20" t="n"/>
      <c r="C319" s="19" t="n"/>
      <c r="D319" s="19" t="n"/>
      <c r="E319" s="19" t="n"/>
      <c r="F319" s="21" t="n"/>
      <c r="G319" s="21" t="n"/>
      <c r="H319" s="21" t="n"/>
      <c r="I319" s="22" t="n"/>
      <c r="J319" s="21">
        <f>IFERROR(IF(AND(F319&lt;&gt;"",G319&lt;&gt;"",I319&lt;&gt;""),ABS(F319-G319)*I319,""),"")</f>
        <v/>
      </c>
      <c r="K319" s="23">
        <f>IFERROR(IF(AND(F319&lt;&gt;"",G319&lt;&gt;"",H319&lt;&gt;""),ABS(H319-F319)/ABS(F319-G319),""),"")</f>
        <v/>
      </c>
      <c r="L319" s="20" t="n"/>
      <c r="M319" s="21" t="n"/>
      <c r="N319" s="21" t="n"/>
      <c r="O319" s="24">
        <f>IFERROR(IF(AND(M319&lt;&gt;"",F319&lt;&gt;"",I319&lt;&gt;""),IF(D319="Long",(M319-F319)*I319-IF(N319&lt;&gt;"",N319,0),IF(D319="Short",(F319-M319)*I319-IF(N319&lt;&gt;"",N319,0),"")),""),"")</f>
        <v/>
      </c>
      <c r="P319" s="25">
        <f>IFERROR(IF(AND(O319&lt;&gt;"",F319&lt;&gt;"",I319&lt;&gt;""),O319/(F319*I319),""),"")</f>
        <v/>
      </c>
      <c r="Q319" s="26">
        <f>IFERROR(IF(AND(O319&lt;&gt;"",J319&lt;&gt;"",J319&lt;&gt;0),O319/J319,""),"")</f>
        <v/>
      </c>
      <c r="R319" s="27">
        <f>IFERROR(IF(AND(L319&lt;&gt;"",B319&lt;&gt;""),L319-B319,""),"")</f>
        <v/>
      </c>
      <c r="S319" s="19" t="n"/>
      <c r="T319" s="19" t="n"/>
      <c r="U319" s="17">
        <f>IF(O319&lt;&gt;"",318,"")</f>
        <v/>
      </c>
      <c r="V319" s="18">
        <f>IF(O319&lt;&gt;"",V318+O319,V318)</f>
        <v/>
      </c>
    </row>
    <row r="320">
      <c r="A320" s="8" t="n"/>
      <c r="B320" s="9" t="n"/>
      <c r="C320" s="8" t="n"/>
      <c r="D320" s="8" t="n"/>
      <c r="E320" s="8" t="n"/>
      <c r="F320" s="10" t="n"/>
      <c r="G320" s="10" t="n"/>
      <c r="H320" s="10" t="n"/>
      <c r="I320" s="11" t="n"/>
      <c r="J320" s="10">
        <f>IFERROR(IF(AND(F320&lt;&gt;"",G320&lt;&gt;"",I320&lt;&gt;""),ABS(F320-G320)*I320,""),"")</f>
        <v/>
      </c>
      <c r="K320" s="12">
        <f>IFERROR(IF(AND(F320&lt;&gt;"",G320&lt;&gt;"",H320&lt;&gt;""),ABS(H320-F320)/ABS(F320-G320),""),"")</f>
        <v/>
      </c>
      <c r="L320" s="9" t="n"/>
      <c r="M320" s="10" t="n"/>
      <c r="N320" s="10" t="n"/>
      <c r="O320" s="13">
        <f>IFERROR(IF(AND(M320&lt;&gt;"",F320&lt;&gt;"",I320&lt;&gt;""),IF(D320="Long",(M320-F320)*I320-IF(N320&lt;&gt;"",N320,0),IF(D320="Short",(F320-M320)*I320-IF(N320&lt;&gt;"",N320,0),"")),""),"")</f>
        <v/>
      </c>
      <c r="P320" s="14">
        <f>IFERROR(IF(AND(O320&lt;&gt;"",F320&lt;&gt;"",I320&lt;&gt;""),O320/(F320*I320),""),"")</f>
        <v/>
      </c>
      <c r="Q320" s="15">
        <f>IFERROR(IF(AND(O320&lt;&gt;"",J320&lt;&gt;"",J320&lt;&gt;0),O320/J320,""),"")</f>
        <v/>
      </c>
      <c r="R320" s="16">
        <f>IFERROR(IF(AND(L320&lt;&gt;"",B320&lt;&gt;""),L320-B320,""),"")</f>
        <v/>
      </c>
      <c r="S320" s="8" t="n"/>
      <c r="T320" s="8" t="n"/>
      <c r="U320" s="17">
        <f>IF(O320&lt;&gt;"",319,"")</f>
        <v/>
      </c>
      <c r="V320" s="18">
        <f>IF(O320&lt;&gt;"",V319+O320,V319)</f>
        <v/>
      </c>
    </row>
    <row r="321">
      <c r="A321" s="19" t="n"/>
      <c r="B321" s="20" t="n"/>
      <c r="C321" s="19" t="n"/>
      <c r="D321" s="19" t="n"/>
      <c r="E321" s="19" t="n"/>
      <c r="F321" s="21" t="n"/>
      <c r="G321" s="21" t="n"/>
      <c r="H321" s="21" t="n"/>
      <c r="I321" s="22" t="n"/>
      <c r="J321" s="21">
        <f>IFERROR(IF(AND(F321&lt;&gt;"",G321&lt;&gt;"",I321&lt;&gt;""),ABS(F321-G321)*I321,""),"")</f>
        <v/>
      </c>
      <c r="K321" s="23">
        <f>IFERROR(IF(AND(F321&lt;&gt;"",G321&lt;&gt;"",H321&lt;&gt;""),ABS(H321-F321)/ABS(F321-G321),""),"")</f>
        <v/>
      </c>
      <c r="L321" s="20" t="n"/>
      <c r="M321" s="21" t="n"/>
      <c r="N321" s="21" t="n"/>
      <c r="O321" s="24">
        <f>IFERROR(IF(AND(M321&lt;&gt;"",F321&lt;&gt;"",I321&lt;&gt;""),IF(D321="Long",(M321-F321)*I321-IF(N321&lt;&gt;"",N321,0),IF(D321="Short",(F321-M321)*I321-IF(N321&lt;&gt;"",N321,0),"")),""),"")</f>
        <v/>
      </c>
      <c r="P321" s="25">
        <f>IFERROR(IF(AND(O321&lt;&gt;"",F321&lt;&gt;"",I321&lt;&gt;""),O321/(F321*I321),""),"")</f>
        <v/>
      </c>
      <c r="Q321" s="26">
        <f>IFERROR(IF(AND(O321&lt;&gt;"",J321&lt;&gt;"",J321&lt;&gt;0),O321/J321,""),"")</f>
        <v/>
      </c>
      <c r="R321" s="27">
        <f>IFERROR(IF(AND(L321&lt;&gt;"",B321&lt;&gt;""),L321-B321,""),"")</f>
        <v/>
      </c>
      <c r="S321" s="19" t="n"/>
      <c r="T321" s="19" t="n"/>
      <c r="U321" s="17">
        <f>IF(O321&lt;&gt;"",320,"")</f>
        <v/>
      </c>
      <c r="V321" s="18">
        <f>IF(O321&lt;&gt;"",V320+O321,V320)</f>
        <v/>
      </c>
    </row>
    <row r="322">
      <c r="A322" s="8" t="n"/>
      <c r="B322" s="9" t="n"/>
      <c r="C322" s="8" t="n"/>
      <c r="D322" s="8" t="n"/>
      <c r="E322" s="8" t="n"/>
      <c r="F322" s="10" t="n"/>
      <c r="G322" s="10" t="n"/>
      <c r="H322" s="10" t="n"/>
      <c r="I322" s="11" t="n"/>
      <c r="J322" s="10">
        <f>IFERROR(IF(AND(F322&lt;&gt;"",G322&lt;&gt;"",I322&lt;&gt;""),ABS(F322-G322)*I322,""),"")</f>
        <v/>
      </c>
      <c r="K322" s="12">
        <f>IFERROR(IF(AND(F322&lt;&gt;"",G322&lt;&gt;"",H322&lt;&gt;""),ABS(H322-F322)/ABS(F322-G322),""),"")</f>
        <v/>
      </c>
      <c r="L322" s="9" t="n"/>
      <c r="M322" s="10" t="n"/>
      <c r="N322" s="10" t="n"/>
      <c r="O322" s="13">
        <f>IFERROR(IF(AND(M322&lt;&gt;"",F322&lt;&gt;"",I322&lt;&gt;""),IF(D322="Long",(M322-F322)*I322-IF(N322&lt;&gt;"",N322,0),IF(D322="Short",(F322-M322)*I322-IF(N322&lt;&gt;"",N322,0),"")),""),"")</f>
        <v/>
      </c>
      <c r="P322" s="14">
        <f>IFERROR(IF(AND(O322&lt;&gt;"",F322&lt;&gt;"",I322&lt;&gt;""),O322/(F322*I322),""),"")</f>
        <v/>
      </c>
      <c r="Q322" s="15">
        <f>IFERROR(IF(AND(O322&lt;&gt;"",J322&lt;&gt;"",J322&lt;&gt;0),O322/J322,""),"")</f>
        <v/>
      </c>
      <c r="R322" s="16">
        <f>IFERROR(IF(AND(L322&lt;&gt;"",B322&lt;&gt;""),L322-B322,""),"")</f>
        <v/>
      </c>
      <c r="S322" s="8" t="n"/>
      <c r="T322" s="8" t="n"/>
      <c r="U322" s="17">
        <f>IF(O322&lt;&gt;"",321,"")</f>
        <v/>
      </c>
      <c r="V322" s="18">
        <f>IF(O322&lt;&gt;"",V321+O322,V321)</f>
        <v/>
      </c>
    </row>
    <row r="323">
      <c r="A323" s="19" t="n"/>
      <c r="B323" s="20" t="n"/>
      <c r="C323" s="19" t="n"/>
      <c r="D323" s="19" t="n"/>
      <c r="E323" s="19" t="n"/>
      <c r="F323" s="21" t="n"/>
      <c r="G323" s="21" t="n"/>
      <c r="H323" s="21" t="n"/>
      <c r="I323" s="22" t="n"/>
      <c r="J323" s="21">
        <f>IFERROR(IF(AND(F323&lt;&gt;"",G323&lt;&gt;"",I323&lt;&gt;""),ABS(F323-G323)*I323,""),"")</f>
        <v/>
      </c>
      <c r="K323" s="23">
        <f>IFERROR(IF(AND(F323&lt;&gt;"",G323&lt;&gt;"",H323&lt;&gt;""),ABS(H323-F323)/ABS(F323-G323),""),"")</f>
        <v/>
      </c>
      <c r="L323" s="20" t="n"/>
      <c r="M323" s="21" t="n"/>
      <c r="N323" s="21" t="n"/>
      <c r="O323" s="24">
        <f>IFERROR(IF(AND(M323&lt;&gt;"",F323&lt;&gt;"",I323&lt;&gt;""),IF(D323="Long",(M323-F323)*I323-IF(N323&lt;&gt;"",N323,0),IF(D323="Short",(F323-M323)*I323-IF(N323&lt;&gt;"",N323,0),"")),""),"")</f>
        <v/>
      </c>
      <c r="P323" s="25">
        <f>IFERROR(IF(AND(O323&lt;&gt;"",F323&lt;&gt;"",I323&lt;&gt;""),O323/(F323*I323),""),"")</f>
        <v/>
      </c>
      <c r="Q323" s="26">
        <f>IFERROR(IF(AND(O323&lt;&gt;"",J323&lt;&gt;"",J323&lt;&gt;0),O323/J323,""),"")</f>
        <v/>
      </c>
      <c r="R323" s="27">
        <f>IFERROR(IF(AND(L323&lt;&gt;"",B323&lt;&gt;""),L323-B323,""),"")</f>
        <v/>
      </c>
      <c r="S323" s="19" t="n"/>
      <c r="T323" s="19" t="n"/>
      <c r="U323" s="17">
        <f>IF(O323&lt;&gt;"",322,"")</f>
        <v/>
      </c>
      <c r="V323" s="18">
        <f>IF(O323&lt;&gt;"",V322+O323,V322)</f>
        <v/>
      </c>
    </row>
    <row r="324">
      <c r="A324" s="8" t="n"/>
      <c r="B324" s="9" t="n"/>
      <c r="C324" s="8" t="n"/>
      <c r="D324" s="8" t="n"/>
      <c r="E324" s="8" t="n"/>
      <c r="F324" s="10" t="n"/>
      <c r="G324" s="10" t="n"/>
      <c r="H324" s="10" t="n"/>
      <c r="I324" s="11" t="n"/>
      <c r="J324" s="10">
        <f>IFERROR(IF(AND(F324&lt;&gt;"",G324&lt;&gt;"",I324&lt;&gt;""),ABS(F324-G324)*I324,""),"")</f>
        <v/>
      </c>
      <c r="K324" s="12">
        <f>IFERROR(IF(AND(F324&lt;&gt;"",G324&lt;&gt;"",H324&lt;&gt;""),ABS(H324-F324)/ABS(F324-G324),""),"")</f>
        <v/>
      </c>
      <c r="L324" s="9" t="n"/>
      <c r="M324" s="10" t="n"/>
      <c r="N324" s="10" t="n"/>
      <c r="O324" s="13">
        <f>IFERROR(IF(AND(M324&lt;&gt;"",F324&lt;&gt;"",I324&lt;&gt;""),IF(D324="Long",(M324-F324)*I324-IF(N324&lt;&gt;"",N324,0),IF(D324="Short",(F324-M324)*I324-IF(N324&lt;&gt;"",N324,0),"")),""),"")</f>
        <v/>
      </c>
      <c r="P324" s="14">
        <f>IFERROR(IF(AND(O324&lt;&gt;"",F324&lt;&gt;"",I324&lt;&gt;""),O324/(F324*I324),""),"")</f>
        <v/>
      </c>
      <c r="Q324" s="15">
        <f>IFERROR(IF(AND(O324&lt;&gt;"",J324&lt;&gt;"",J324&lt;&gt;0),O324/J324,""),"")</f>
        <v/>
      </c>
      <c r="R324" s="16">
        <f>IFERROR(IF(AND(L324&lt;&gt;"",B324&lt;&gt;""),L324-B324,""),"")</f>
        <v/>
      </c>
      <c r="S324" s="8" t="n"/>
      <c r="T324" s="8" t="n"/>
      <c r="U324" s="17">
        <f>IF(O324&lt;&gt;"",323,"")</f>
        <v/>
      </c>
      <c r="V324" s="18">
        <f>IF(O324&lt;&gt;"",V323+O324,V323)</f>
        <v/>
      </c>
    </row>
    <row r="325">
      <c r="A325" s="19" t="n"/>
      <c r="B325" s="20" t="n"/>
      <c r="C325" s="19" t="n"/>
      <c r="D325" s="19" t="n"/>
      <c r="E325" s="19" t="n"/>
      <c r="F325" s="21" t="n"/>
      <c r="G325" s="21" t="n"/>
      <c r="H325" s="21" t="n"/>
      <c r="I325" s="22" t="n"/>
      <c r="J325" s="21">
        <f>IFERROR(IF(AND(F325&lt;&gt;"",G325&lt;&gt;"",I325&lt;&gt;""),ABS(F325-G325)*I325,""),"")</f>
        <v/>
      </c>
      <c r="K325" s="23">
        <f>IFERROR(IF(AND(F325&lt;&gt;"",G325&lt;&gt;"",H325&lt;&gt;""),ABS(H325-F325)/ABS(F325-G325),""),"")</f>
        <v/>
      </c>
      <c r="L325" s="20" t="n"/>
      <c r="M325" s="21" t="n"/>
      <c r="N325" s="21" t="n"/>
      <c r="O325" s="24">
        <f>IFERROR(IF(AND(M325&lt;&gt;"",F325&lt;&gt;"",I325&lt;&gt;""),IF(D325="Long",(M325-F325)*I325-IF(N325&lt;&gt;"",N325,0),IF(D325="Short",(F325-M325)*I325-IF(N325&lt;&gt;"",N325,0),"")),""),"")</f>
        <v/>
      </c>
      <c r="P325" s="25">
        <f>IFERROR(IF(AND(O325&lt;&gt;"",F325&lt;&gt;"",I325&lt;&gt;""),O325/(F325*I325),""),"")</f>
        <v/>
      </c>
      <c r="Q325" s="26">
        <f>IFERROR(IF(AND(O325&lt;&gt;"",J325&lt;&gt;"",J325&lt;&gt;0),O325/J325,""),"")</f>
        <v/>
      </c>
      <c r="R325" s="27">
        <f>IFERROR(IF(AND(L325&lt;&gt;"",B325&lt;&gt;""),L325-B325,""),"")</f>
        <v/>
      </c>
      <c r="S325" s="19" t="n"/>
      <c r="T325" s="19" t="n"/>
      <c r="U325" s="17">
        <f>IF(O325&lt;&gt;"",324,"")</f>
        <v/>
      </c>
      <c r="V325" s="18">
        <f>IF(O325&lt;&gt;"",V324+O325,V324)</f>
        <v/>
      </c>
    </row>
    <row r="326">
      <c r="A326" s="8" t="n"/>
      <c r="B326" s="9" t="n"/>
      <c r="C326" s="8" t="n"/>
      <c r="D326" s="8" t="n"/>
      <c r="E326" s="8" t="n"/>
      <c r="F326" s="10" t="n"/>
      <c r="G326" s="10" t="n"/>
      <c r="H326" s="10" t="n"/>
      <c r="I326" s="11" t="n"/>
      <c r="J326" s="10">
        <f>IFERROR(IF(AND(F326&lt;&gt;"",G326&lt;&gt;"",I326&lt;&gt;""),ABS(F326-G326)*I326,""),"")</f>
        <v/>
      </c>
      <c r="K326" s="12">
        <f>IFERROR(IF(AND(F326&lt;&gt;"",G326&lt;&gt;"",H326&lt;&gt;""),ABS(H326-F326)/ABS(F326-G326),""),"")</f>
        <v/>
      </c>
      <c r="L326" s="9" t="n"/>
      <c r="M326" s="10" t="n"/>
      <c r="N326" s="10" t="n"/>
      <c r="O326" s="13">
        <f>IFERROR(IF(AND(M326&lt;&gt;"",F326&lt;&gt;"",I326&lt;&gt;""),IF(D326="Long",(M326-F326)*I326-IF(N326&lt;&gt;"",N326,0),IF(D326="Short",(F326-M326)*I326-IF(N326&lt;&gt;"",N326,0),"")),""),"")</f>
        <v/>
      </c>
      <c r="P326" s="14">
        <f>IFERROR(IF(AND(O326&lt;&gt;"",F326&lt;&gt;"",I326&lt;&gt;""),O326/(F326*I326),""),"")</f>
        <v/>
      </c>
      <c r="Q326" s="15">
        <f>IFERROR(IF(AND(O326&lt;&gt;"",J326&lt;&gt;"",J326&lt;&gt;0),O326/J326,""),"")</f>
        <v/>
      </c>
      <c r="R326" s="16">
        <f>IFERROR(IF(AND(L326&lt;&gt;"",B326&lt;&gt;""),L326-B326,""),"")</f>
        <v/>
      </c>
      <c r="S326" s="8" t="n"/>
      <c r="T326" s="8" t="n"/>
      <c r="U326" s="17">
        <f>IF(O326&lt;&gt;"",325,"")</f>
        <v/>
      </c>
      <c r="V326" s="18">
        <f>IF(O326&lt;&gt;"",V325+O326,V325)</f>
        <v/>
      </c>
    </row>
    <row r="327">
      <c r="A327" s="19" t="n"/>
      <c r="B327" s="20" t="n"/>
      <c r="C327" s="19" t="n"/>
      <c r="D327" s="19" t="n"/>
      <c r="E327" s="19" t="n"/>
      <c r="F327" s="21" t="n"/>
      <c r="G327" s="21" t="n"/>
      <c r="H327" s="21" t="n"/>
      <c r="I327" s="22" t="n"/>
      <c r="J327" s="21">
        <f>IFERROR(IF(AND(F327&lt;&gt;"",G327&lt;&gt;"",I327&lt;&gt;""),ABS(F327-G327)*I327,""),"")</f>
        <v/>
      </c>
      <c r="K327" s="23">
        <f>IFERROR(IF(AND(F327&lt;&gt;"",G327&lt;&gt;"",H327&lt;&gt;""),ABS(H327-F327)/ABS(F327-G327),""),"")</f>
        <v/>
      </c>
      <c r="L327" s="20" t="n"/>
      <c r="M327" s="21" t="n"/>
      <c r="N327" s="21" t="n"/>
      <c r="O327" s="24">
        <f>IFERROR(IF(AND(M327&lt;&gt;"",F327&lt;&gt;"",I327&lt;&gt;""),IF(D327="Long",(M327-F327)*I327-IF(N327&lt;&gt;"",N327,0),IF(D327="Short",(F327-M327)*I327-IF(N327&lt;&gt;"",N327,0),"")),""),"")</f>
        <v/>
      </c>
      <c r="P327" s="25">
        <f>IFERROR(IF(AND(O327&lt;&gt;"",F327&lt;&gt;"",I327&lt;&gt;""),O327/(F327*I327),""),"")</f>
        <v/>
      </c>
      <c r="Q327" s="26">
        <f>IFERROR(IF(AND(O327&lt;&gt;"",J327&lt;&gt;"",J327&lt;&gt;0),O327/J327,""),"")</f>
        <v/>
      </c>
      <c r="R327" s="27">
        <f>IFERROR(IF(AND(L327&lt;&gt;"",B327&lt;&gt;""),L327-B327,""),"")</f>
        <v/>
      </c>
      <c r="S327" s="19" t="n"/>
      <c r="T327" s="19" t="n"/>
      <c r="U327" s="17">
        <f>IF(O327&lt;&gt;"",326,"")</f>
        <v/>
      </c>
      <c r="V327" s="18">
        <f>IF(O327&lt;&gt;"",V326+O327,V326)</f>
        <v/>
      </c>
    </row>
    <row r="328">
      <c r="A328" s="8" t="n"/>
      <c r="B328" s="9" t="n"/>
      <c r="C328" s="8" t="n"/>
      <c r="D328" s="8" t="n"/>
      <c r="E328" s="8" t="n"/>
      <c r="F328" s="10" t="n"/>
      <c r="G328" s="10" t="n"/>
      <c r="H328" s="10" t="n"/>
      <c r="I328" s="11" t="n"/>
      <c r="J328" s="10">
        <f>IFERROR(IF(AND(F328&lt;&gt;"",G328&lt;&gt;"",I328&lt;&gt;""),ABS(F328-G328)*I328,""),"")</f>
        <v/>
      </c>
      <c r="K328" s="12">
        <f>IFERROR(IF(AND(F328&lt;&gt;"",G328&lt;&gt;"",H328&lt;&gt;""),ABS(H328-F328)/ABS(F328-G328),""),"")</f>
        <v/>
      </c>
      <c r="L328" s="9" t="n"/>
      <c r="M328" s="10" t="n"/>
      <c r="N328" s="10" t="n"/>
      <c r="O328" s="13">
        <f>IFERROR(IF(AND(M328&lt;&gt;"",F328&lt;&gt;"",I328&lt;&gt;""),IF(D328="Long",(M328-F328)*I328-IF(N328&lt;&gt;"",N328,0),IF(D328="Short",(F328-M328)*I328-IF(N328&lt;&gt;"",N328,0),"")),""),"")</f>
        <v/>
      </c>
      <c r="P328" s="14">
        <f>IFERROR(IF(AND(O328&lt;&gt;"",F328&lt;&gt;"",I328&lt;&gt;""),O328/(F328*I328),""),"")</f>
        <v/>
      </c>
      <c r="Q328" s="15">
        <f>IFERROR(IF(AND(O328&lt;&gt;"",J328&lt;&gt;"",J328&lt;&gt;0),O328/J328,""),"")</f>
        <v/>
      </c>
      <c r="R328" s="16">
        <f>IFERROR(IF(AND(L328&lt;&gt;"",B328&lt;&gt;""),L328-B328,""),"")</f>
        <v/>
      </c>
      <c r="S328" s="8" t="n"/>
      <c r="T328" s="8" t="n"/>
      <c r="U328" s="17">
        <f>IF(O328&lt;&gt;"",327,"")</f>
        <v/>
      </c>
      <c r="V328" s="18">
        <f>IF(O328&lt;&gt;"",V327+O328,V327)</f>
        <v/>
      </c>
    </row>
    <row r="329">
      <c r="A329" s="19" t="n"/>
      <c r="B329" s="20" t="n"/>
      <c r="C329" s="19" t="n"/>
      <c r="D329" s="19" t="n"/>
      <c r="E329" s="19" t="n"/>
      <c r="F329" s="21" t="n"/>
      <c r="G329" s="21" t="n"/>
      <c r="H329" s="21" t="n"/>
      <c r="I329" s="22" t="n"/>
      <c r="J329" s="21">
        <f>IFERROR(IF(AND(F329&lt;&gt;"",G329&lt;&gt;"",I329&lt;&gt;""),ABS(F329-G329)*I329,""),"")</f>
        <v/>
      </c>
      <c r="K329" s="23">
        <f>IFERROR(IF(AND(F329&lt;&gt;"",G329&lt;&gt;"",H329&lt;&gt;""),ABS(H329-F329)/ABS(F329-G329),""),"")</f>
        <v/>
      </c>
      <c r="L329" s="20" t="n"/>
      <c r="M329" s="21" t="n"/>
      <c r="N329" s="21" t="n"/>
      <c r="O329" s="24">
        <f>IFERROR(IF(AND(M329&lt;&gt;"",F329&lt;&gt;"",I329&lt;&gt;""),IF(D329="Long",(M329-F329)*I329-IF(N329&lt;&gt;"",N329,0),IF(D329="Short",(F329-M329)*I329-IF(N329&lt;&gt;"",N329,0),"")),""),"")</f>
        <v/>
      </c>
      <c r="P329" s="25">
        <f>IFERROR(IF(AND(O329&lt;&gt;"",F329&lt;&gt;"",I329&lt;&gt;""),O329/(F329*I329),""),"")</f>
        <v/>
      </c>
      <c r="Q329" s="26">
        <f>IFERROR(IF(AND(O329&lt;&gt;"",J329&lt;&gt;"",J329&lt;&gt;0),O329/J329,""),"")</f>
        <v/>
      </c>
      <c r="R329" s="27">
        <f>IFERROR(IF(AND(L329&lt;&gt;"",B329&lt;&gt;""),L329-B329,""),"")</f>
        <v/>
      </c>
      <c r="S329" s="19" t="n"/>
      <c r="T329" s="19" t="n"/>
      <c r="U329" s="17">
        <f>IF(O329&lt;&gt;"",328,"")</f>
        <v/>
      </c>
      <c r="V329" s="18">
        <f>IF(O329&lt;&gt;"",V328+O329,V328)</f>
        <v/>
      </c>
    </row>
    <row r="330">
      <c r="A330" s="8" t="n"/>
      <c r="B330" s="9" t="n"/>
      <c r="C330" s="8" t="n"/>
      <c r="D330" s="8" t="n"/>
      <c r="E330" s="8" t="n"/>
      <c r="F330" s="10" t="n"/>
      <c r="G330" s="10" t="n"/>
      <c r="H330" s="10" t="n"/>
      <c r="I330" s="11" t="n"/>
      <c r="J330" s="10">
        <f>IFERROR(IF(AND(F330&lt;&gt;"",G330&lt;&gt;"",I330&lt;&gt;""),ABS(F330-G330)*I330,""),"")</f>
        <v/>
      </c>
      <c r="K330" s="12">
        <f>IFERROR(IF(AND(F330&lt;&gt;"",G330&lt;&gt;"",H330&lt;&gt;""),ABS(H330-F330)/ABS(F330-G330),""),"")</f>
        <v/>
      </c>
      <c r="L330" s="9" t="n"/>
      <c r="M330" s="10" t="n"/>
      <c r="N330" s="10" t="n"/>
      <c r="O330" s="13">
        <f>IFERROR(IF(AND(M330&lt;&gt;"",F330&lt;&gt;"",I330&lt;&gt;""),IF(D330="Long",(M330-F330)*I330-IF(N330&lt;&gt;"",N330,0),IF(D330="Short",(F330-M330)*I330-IF(N330&lt;&gt;"",N330,0),"")),""),"")</f>
        <v/>
      </c>
      <c r="P330" s="14">
        <f>IFERROR(IF(AND(O330&lt;&gt;"",F330&lt;&gt;"",I330&lt;&gt;""),O330/(F330*I330),""),"")</f>
        <v/>
      </c>
      <c r="Q330" s="15">
        <f>IFERROR(IF(AND(O330&lt;&gt;"",J330&lt;&gt;"",J330&lt;&gt;0),O330/J330,""),"")</f>
        <v/>
      </c>
      <c r="R330" s="16">
        <f>IFERROR(IF(AND(L330&lt;&gt;"",B330&lt;&gt;""),L330-B330,""),"")</f>
        <v/>
      </c>
      <c r="S330" s="8" t="n"/>
      <c r="T330" s="8" t="n"/>
      <c r="U330" s="17">
        <f>IF(O330&lt;&gt;"",329,"")</f>
        <v/>
      </c>
      <c r="V330" s="18">
        <f>IF(O330&lt;&gt;"",V329+O330,V329)</f>
        <v/>
      </c>
    </row>
    <row r="331">
      <c r="A331" s="19" t="n"/>
      <c r="B331" s="20" t="n"/>
      <c r="C331" s="19" t="n"/>
      <c r="D331" s="19" t="n"/>
      <c r="E331" s="19" t="n"/>
      <c r="F331" s="21" t="n"/>
      <c r="G331" s="21" t="n"/>
      <c r="H331" s="21" t="n"/>
      <c r="I331" s="22" t="n"/>
      <c r="J331" s="21">
        <f>IFERROR(IF(AND(F331&lt;&gt;"",G331&lt;&gt;"",I331&lt;&gt;""),ABS(F331-G331)*I331,""),"")</f>
        <v/>
      </c>
      <c r="K331" s="23">
        <f>IFERROR(IF(AND(F331&lt;&gt;"",G331&lt;&gt;"",H331&lt;&gt;""),ABS(H331-F331)/ABS(F331-G331),""),"")</f>
        <v/>
      </c>
      <c r="L331" s="20" t="n"/>
      <c r="M331" s="21" t="n"/>
      <c r="N331" s="21" t="n"/>
      <c r="O331" s="24">
        <f>IFERROR(IF(AND(M331&lt;&gt;"",F331&lt;&gt;"",I331&lt;&gt;""),IF(D331="Long",(M331-F331)*I331-IF(N331&lt;&gt;"",N331,0),IF(D331="Short",(F331-M331)*I331-IF(N331&lt;&gt;"",N331,0),"")),""),"")</f>
        <v/>
      </c>
      <c r="P331" s="25">
        <f>IFERROR(IF(AND(O331&lt;&gt;"",F331&lt;&gt;"",I331&lt;&gt;""),O331/(F331*I331),""),"")</f>
        <v/>
      </c>
      <c r="Q331" s="26">
        <f>IFERROR(IF(AND(O331&lt;&gt;"",J331&lt;&gt;"",J331&lt;&gt;0),O331/J331,""),"")</f>
        <v/>
      </c>
      <c r="R331" s="27">
        <f>IFERROR(IF(AND(L331&lt;&gt;"",B331&lt;&gt;""),L331-B331,""),"")</f>
        <v/>
      </c>
      <c r="S331" s="19" t="n"/>
      <c r="T331" s="19" t="n"/>
      <c r="U331" s="17">
        <f>IF(O331&lt;&gt;"",330,"")</f>
        <v/>
      </c>
      <c r="V331" s="18">
        <f>IF(O331&lt;&gt;"",V330+O331,V330)</f>
        <v/>
      </c>
    </row>
    <row r="332">
      <c r="A332" s="8" t="n"/>
      <c r="B332" s="9" t="n"/>
      <c r="C332" s="8" t="n"/>
      <c r="D332" s="8" t="n"/>
      <c r="E332" s="8" t="n"/>
      <c r="F332" s="10" t="n"/>
      <c r="G332" s="10" t="n"/>
      <c r="H332" s="10" t="n"/>
      <c r="I332" s="11" t="n"/>
      <c r="J332" s="10">
        <f>IFERROR(IF(AND(F332&lt;&gt;"",G332&lt;&gt;"",I332&lt;&gt;""),ABS(F332-G332)*I332,""),"")</f>
        <v/>
      </c>
      <c r="K332" s="12">
        <f>IFERROR(IF(AND(F332&lt;&gt;"",G332&lt;&gt;"",H332&lt;&gt;""),ABS(H332-F332)/ABS(F332-G332),""),"")</f>
        <v/>
      </c>
      <c r="L332" s="9" t="n"/>
      <c r="M332" s="10" t="n"/>
      <c r="N332" s="10" t="n"/>
      <c r="O332" s="13">
        <f>IFERROR(IF(AND(M332&lt;&gt;"",F332&lt;&gt;"",I332&lt;&gt;""),IF(D332="Long",(M332-F332)*I332-IF(N332&lt;&gt;"",N332,0),IF(D332="Short",(F332-M332)*I332-IF(N332&lt;&gt;"",N332,0),"")),""),"")</f>
        <v/>
      </c>
      <c r="P332" s="14">
        <f>IFERROR(IF(AND(O332&lt;&gt;"",F332&lt;&gt;"",I332&lt;&gt;""),O332/(F332*I332),""),"")</f>
        <v/>
      </c>
      <c r="Q332" s="15">
        <f>IFERROR(IF(AND(O332&lt;&gt;"",J332&lt;&gt;"",J332&lt;&gt;0),O332/J332,""),"")</f>
        <v/>
      </c>
      <c r="R332" s="16">
        <f>IFERROR(IF(AND(L332&lt;&gt;"",B332&lt;&gt;""),L332-B332,""),"")</f>
        <v/>
      </c>
      <c r="S332" s="8" t="n"/>
      <c r="T332" s="8" t="n"/>
      <c r="U332" s="17">
        <f>IF(O332&lt;&gt;"",331,"")</f>
        <v/>
      </c>
      <c r="V332" s="18">
        <f>IF(O332&lt;&gt;"",V331+O332,V331)</f>
        <v/>
      </c>
    </row>
    <row r="333">
      <c r="A333" s="19" t="n"/>
      <c r="B333" s="20" t="n"/>
      <c r="C333" s="19" t="n"/>
      <c r="D333" s="19" t="n"/>
      <c r="E333" s="19" t="n"/>
      <c r="F333" s="21" t="n"/>
      <c r="G333" s="21" t="n"/>
      <c r="H333" s="21" t="n"/>
      <c r="I333" s="22" t="n"/>
      <c r="J333" s="21">
        <f>IFERROR(IF(AND(F333&lt;&gt;"",G333&lt;&gt;"",I333&lt;&gt;""),ABS(F333-G333)*I333,""),"")</f>
        <v/>
      </c>
      <c r="K333" s="23">
        <f>IFERROR(IF(AND(F333&lt;&gt;"",G333&lt;&gt;"",H333&lt;&gt;""),ABS(H333-F333)/ABS(F333-G333),""),"")</f>
        <v/>
      </c>
      <c r="L333" s="20" t="n"/>
      <c r="M333" s="21" t="n"/>
      <c r="N333" s="21" t="n"/>
      <c r="O333" s="24">
        <f>IFERROR(IF(AND(M333&lt;&gt;"",F333&lt;&gt;"",I333&lt;&gt;""),IF(D333="Long",(M333-F333)*I333-IF(N333&lt;&gt;"",N333,0),IF(D333="Short",(F333-M333)*I333-IF(N333&lt;&gt;"",N333,0),"")),""),"")</f>
        <v/>
      </c>
      <c r="P333" s="25">
        <f>IFERROR(IF(AND(O333&lt;&gt;"",F333&lt;&gt;"",I333&lt;&gt;""),O333/(F333*I333),""),"")</f>
        <v/>
      </c>
      <c r="Q333" s="26">
        <f>IFERROR(IF(AND(O333&lt;&gt;"",J333&lt;&gt;"",J333&lt;&gt;0),O333/J333,""),"")</f>
        <v/>
      </c>
      <c r="R333" s="27">
        <f>IFERROR(IF(AND(L333&lt;&gt;"",B333&lt;&gt;""),L333-B333,""),"")</f>
        <v/>
      </c>
      <c r="S333" s="19" t="n"/>
      <c r="T333" s="19" t="n"/>
      <c r="U333" s="17">
        <f>IF(O333&lt;&gt;"",332,"")</f>
        <v/>
      </c>
      <c r="V333" s="18">
        <f>IF(O333&lt;&gt;"",V332+O333,V332)</f>
        <v/>
      </c>
    </row>
    <row r="334">
      <c r="A334" s="8" t="n"/>
      <c r="B334" s="9" t="n"/>
      <c r="C334" s="8" t="n"/>
      <c r="D334" s="8" t="n"/>
      <c r="E334" s="8" t="n"/>
      <c r="F334" s="10" t="n"/>
      <c r="G334" s="10" t="n"/>
      <c r="H334" s="10" t="n"/>
      <c r="I334" s="11" t="n"/>
      <c r="J334" s="10">
        <f>IFERROR(IF(AND(F334&lt;&gt;"",G334&lt;&gt;"",I334&lt;&gt;""),ABS(F334-G334)*I334,""),"")</f>
        <v/>
      </c>
      <c r="K334" s="12">
        <f>IFERROR(IF(AND(F334&lt;&gt;"",G334&lt;&gt;"",H334&lt;&gt;""),ABS(H334-F334)/ABS(F334-G334),""),"")</f>
        <v/>
      </c>
      <c r="L334" s="9" t="n"/>
      <c r="M334" s="10" t="n"/>
      <c r="N334" s="10" t="n"/>
      <c r="O334" s="13">
        <f>IFERROR(IF(AND(M334&lt;&gt;"",F334&lt;&gt;"",I334&lt;&gt;""),IF(D334="Long",(M334-F334)*I334-IF(N334&lt;&gt;"",N334,0),IF(D334="Short",(F334-M334)*I334-IF(N334&lt;&gt;"",N334,0),"")),""),"")</f>
        <v/>
      </c>
      <c r="P334" s="14">
        <f>IFERROR(IF(AND(O334&lt;&gt;"",F334&lt;&gt;"",I334&lt;&gt;""),O334/(F334*I334),""),"")</f>
        <v/>
      </c>
      <c r="Q334" s="15">
        <f>IFERROR(IF(AND(O334&lt;&gt;"",J334&lt;&gt;"",J334&lt;&gt;0),O334/J334,""),"")</f>
        <v/>
      </c>
      <c r="R334" s="16">
        <f>IFERROR(IF(AND(L334&lt;&gt;"",B334&lt;&gt;""),L334-B334,""),"")</f>
        <v/>
      </c>
      <c r="S334" s="8" t="n"/>
      <c r="T334" s="8" t="n"/>
      <c r="U334" s="17">
        <f>IF(O334&lt;&gt;"",333,"")</f>
        <v/>
      </c>
      <c r="V334" s="18">
        <f>IF(O334&lt;&gt;"",V333+O334,V333)</f>
        <v/>
      </c>
    </row>
    <row r="335">
      <c r="A335" s="19" t="n"/>
      <c r="B335" s="20" t="n"/>
      <c r="C335" s="19" t="n"/>
      <c r="D335" s="19" t="n"/>
      <c r="E335" s="19" t="n"/>
      <c r="F335" s="21" t="n"/>
      <c r="G335" s="21" t="n"/>
      <c r="H335" s="21" t="n"/>
      <c r="I335" s="22" t="n"/>
      <c r="J335" s="21">
        <f>IFERROR(IF(AND(F335&lt;&gt;"",G335&lt;&gt;"",I335&lt;&gt;""),ABS(F335-G335)*I335,""),"")</f>
        <v/>
      </c>
      <c r="K335" s="23">
        <f>IFERROR(IF(AND(F335&lt;&gt;"",G335&lt;&gt;"",H335&lt;&gt;""),ABS(H335-F335)/ABS(F335-G335),""),"")</f>
        <v/>
      </c>
      <c r="L335" s="20" t="n"/>
      <c r="M335" s="21" t="n"/>
      <c r="N335" s="21" t="n"/>
      <c r="O335" s="24">
        <f>IFERROR(IF(AND(M335&lt;&gt;"",F335&lt;&gt;"",I335&lt;&gt;""),IF(D335="Long",(M335-F335)*I335-IF(N335&lt;&gt;"",N335,0),IF(D335="Short",(F335-M335)*I335-IF(N335&lt;&gt;"",N335,0),"")),""),"")</f>
        <v/>
      </c>
      <c r="P335" s="25">
        <f>IFERROR(IF(AND(O335&lt;&gt;"",F335&lt;&gt;"",I335&lt;&gt;""),O335/(F335*I335),""),"")</f>
        <v/>
      </c>
      <c r="Q335" s="26">
        <f>IFERROR(IF(AND(O335&lt;&gt;"",J335&lt;&gt;"",J335&lt;&gt;0),O335/J335,""),"")</f>
        <v/>
      </c>
      <c r="R335" s="27">
        <f>IFERROR(IF(AND(L335&lt;&gt;"",B335&lt;&gt;""),L335-B335,""),"")</f>
        <v/>
      </c>
      <c r="S335" s="19" t="n"/>
      <c r="T335" s="19" t="n"/>
      <c r="U335" s="17">
        <f>IF(O335&lt;&gt;"",334,"")</f>
        <v/>
      </c>
      <c r="V335" s="18">
        <f>IF(O335&lt;&gt;"",V334+O335,V334)</f>
        <v/>
      </c>
    </row>
    <row r="336">
      <c r="A336" s="8" t="n"/>
      <c r="B336" s="9" t="n"/>
      <c r="C336" s="8" t="n"/>
      <c r="D336" s="8" t="n"/>
      <c r="E336" s="8" t="n"/>
      <c r="F336" s="10" t="n"/>
      <c r="G336" s="10" t="n"/>
      <c r="H336" s="10" t="n"/>
      <c r="I336" s="11" t="n"/>
      <c r="J336" s="10">
        <f>IFERROR(IF(AND(F336&lt;&gt;"",G336&lt;&gt;"",I336&lt;&gt;""),ABS(F336-G336)*I336,""),"")</f>
        <v/>
      </c>
      <c r="K336" s="12">
        <f>IFERROR(IF(AND(F336&lt;&gt;"",G336&lt;&gt;"",H336&lt;&gt;""),ABS(H336-F336)/ABS(F336-G336),""),"")</f>
        <v/>
      </c>
      <c r="L336" s="9" t="n"/>
      <c r="M336" s="10" t="n"/>
      <c r="N336" s="10" t="n"/>
      <c r="O336" s="13">
        <f>IFERROR(IF(AND(M336&lt;&gt;"",F336&lt;&gt;"",I336&lt;&gt;""),IF(D336="Long",(M336-F336)*I336-IF(N336&lt;&gt;"",N336,0),IF(D336="Short",(F336-M336)*I336-IF(N336&lt;&gt;"",N336,0),"")),""),"")</f>
        <v/>
      </c>
      <c r="P336" s="14">
        <f>IFERROR(IF(AND(O336&lt;&gt;"",F336&lt;&gt;"",I336&lt;&gt;""),O336/(F336*I336),""),"")</f>
        <v/>
      </c>
      <c r="Q336" s="15">
        <f>IFERROR(IF(AND(O336&lt;&gt;"",J336&lt;&gt;"",J336&lt;&gt;0),O336/J336,""),"")</f>
        <v/>
      </c>
      <c r="R336" s="16">
        <f>IFERROR(IF(AND(L336&lt;&gt;"",B336&lt;&gt;""),L336-B336,""),"")</f>
        <v/>
      </c>
      <c r="S336" s="8" t="n"/>
      <c r="T336" s="8" t="n"/>
      <c r="U336" s="17">
        <f>IF(O336&lt;&gt;"",335,"")</f>
        <v/>
      </c>
      <c r="V336" s="18">
        <f>IF(O336&lt;&gt;"",V335+O336,V335)</f>
        <v/>
      </c>
    </row>
    <row r="337">
      <c r="A337" s="19" t="n"/>
      <c r="B337" s="20" t="n"/>
      <c r="C337" s="19" t="n"/>
      <c r="D337" s="19" t="n"/>
      <c r="E337" s="19" t="n"/>
      <c r="F337" s="21" t="n"/>
      <c r="G337" s="21" t="n"/>
      <c r="H337" s="21" t="n"/>
      <c r="I337" s="22" t="n"/>
      <c r="J337" s="21">
        <f>IFERROR(IF(AND(F337&lt;&gt;"",G337&lt;&gt;"",I337&lt;&gt;""),ABS(F337-G337)*I337,""),"")</f>
        <v/>
      </c>
      <c r="K337" s="23">
        <f>IFERROR(IF(AND(F337&lt;&gt;"",G337&lt;&gt;"",H337&lt;&gt;""),ABS(H337-F337)/ABS(F337-G337),""),"")</f>
        <v/>
      </c>
      <c r="L337" s="20" t="n"/>
      <c r="M337" s="21" t="n"/>
      <c r="N337" s="21" t="n"/>
      <c r="O337" s="24">
        <f>IFERROR(IF(AND(M337&lt;&gt;"",F337&lt;&gt;"",I337&lt;&gt;""),IF(D337="Long",(M337-F337)*I337-IF(N337&lt;&gt;"",N337,0),IF(D337="Short",(F337-M337)*I337-IF(N337&lt;&gt;"",N337,0),"")),""),"")</f>
        <v/>
      </c>
      <c r="P337" s="25">
        <f>IFERROR(IF(AND(O337&lt;&gt;"",F337&lt;&gt;"",I337&lt;&gt;""),O337/(F337*I337),""),"")</f>
        <v/>
      </c>
      <c r="Q337" s="26">
        <f>IFERROR(IF(AND(O337&lt;&gt;"",J337&lt;&gt;"",J337&lt;&gt;0),O337/J337,""),"")</f>
        <v/>
      </c>
      <c r="R337" s="27">
        <f>IFERROR(IF(AND(L337&lt;&gt;"",B337&lt;&gt;""),L337-B337,""),"")</f>
        <v/>
      </c>
      <c r="S337" s="19" t="n"/>
      <c r="T337" s="19" t="n"/>
      <c r="U337" s="17">
        <f>IF(O337&lt;&gt;"",336,"")</f>
        <v/>
      </c>
      <c r="V337" s="18">
        <f>IF(O337&lt;&gt;"",V336+O337,V336)</f>
        <v/>
      </c>
    </row>
    <row r="338">
      <c r="A338" s="8" t="n"/>
      <c r="B338" s="9" t="n"/>
      <c r="C338" s="8" t="n"/>
      <c r="D338" s="8" t="n"/>
      <c r="E338" s="8" t="n"/>
      <c r="F338" s="10" t="n"/>
      <c r="G338" s="10" t="n"/>
      <c r="H338" s="10" t="n"/>
      <c r="I338" s="11" t="n"/>
      <c r="J338" s="10">
        <f>IFERROR(IF(AND(F338&lt;&gt;"",G338&lt;&gt;"",I338&lt;&gt;""),ABS(F338-G338)*I338,""),"")</f>
        <v/>
      </c>
      <c r="K338" s="12">
        <f>IFERROR(IF(AND(F338&lt;&gt;"",G338&lt;&gt;"",H338&lt;&gt;""),ABS(H338-F338)/ABS(F338-G338),""),"")</f>
        <v/>
      </c>
      <c r="L338" s="9" t="n"/>
      <c r="M338" s="10" t="n"/>
      <c r="N338" s="10" t="n"/>
      <c r="O338" s="13">
        <f>IFERROR(IF(AND(M338&lt;&gt;"",F338&lt;&gt;"",I338&lt;&gt;""),IF(D338="Long",(M338-F338)*I338-IF(N338&lt;&gt;"",N338,0),IF(D338="Short",(F338-M338)*I338-IF(N338&lt;&gt;"",N338,0),"")),""),"")</f>
        <v/>
      </c>
      <c r="P338" s="14">
        <f>IFERROR(IF(AND(O338&lt;&gt;"",F338&lt;&gt;"",I338&lt;&gt;""),O338/(F338*I338),""),"")</f>
        <v/>
      </c>
      <c r="Q338" s="15">
        <f>IFERROR(IF(AND(O338&lt;&gt;"",J338&lt;&gt;"",J338&lt;&gt;0),O338/J338,""),"")</f>
        <v/>
      </c>
      <c r="R338" s="16">
        <f>IFERROR(IF(AND(L338&lt;&gt;"",B338&lt;&gt;""),L338-B338,""),"")</f>
        <v/>
      </c>
      <c r="S338" s="8" t="n"/>
      <c r="T338" s="8" t="n"/>
      <c r="U338" s="17">
        <f>IF(O338&lt;&gt;"",337,"")</f>
        <v/>
      </c>
      <c r="V338" s="18">
        <f>IF(O338&lt;&gt;"",V337+O338,V337)</f>
        <v/>
      </c>
    </row>
    <row r="339">
      <c r="A339" s="19" t="n"/>
      <c r="B339" s="20" t="n"/>
      <c r="C339" s="19" t="n"/>
      <c r="D339" s="19" t="n"/>
      <c r="E339" s="19" t="n"/>
      <c r="F339" s="21" t="n"/>
      <c r="G339" s="21" t="n"/>
      <c r="H339" s="21" t="n"/>
      <c r="I339" s="22" t="n"/>
      <c r="J339" s="21">
        <f>IFERROR(IF(AND(F339&lt;&gt;"",G339&lt;&gt;"",I339&lt;&gt;""),ABS(F339-G339)*I339,""),"")</f>
        <v/>
      </c>
      <c r="K339" s="23">
        <f>IFERROR(IF(AND(F339&lt;&gt;"",G339&lt;&gt;"",H339&lt;&gt;""),ABS(H339-F339)/ABS(F339-G339),""),"")</f>
        <v/>
      </c>
      <c r="L339" s="20" t="n"/>
      <c r="M339" s="21" t="n"/>
      <c r="N339" s="21" t="n"/>
      <c r="O339" s="24">
        <f>IFERROR(IF(AND(M339&lt;&gt;"",F339&lt;&gt;"",I339&lt;&gt;""),IF(D339="Long",(M339-F339)*I339-IF(N339&lt;&gt;"",N339,0),IF(D339="Short",(F339-M339)*I339-IF(N339&lt;&gt;"",N339,0),"")),""),"")</f>
        <v/>
      </c>
      <c r="P339" s="25">
        <f>IFERROR(IF(AND(O339&lt;&gt;"",F339&lt;&gt;"",I339&lt;&gt;""),O339/(F339*I339),""),"")</f>
        <v/>
      </c>
      <c r="Q339" s="26">
        <f>IFERROR(IF(AND(O339&lt;&gt;"",J339&lt;&gt;"",J339&lt;&gt;0),O339/J339,""),"")</f>
        <v/>
      </c>
      <c r="R339" s="27">
        <f>IFERROR(IF(AND(L339&lt;&gt;"",B339&lt;&gt;""),L339-B339,""),"")</f>
        <v/>
      </c>
      <c r="S339" s="19" t="n"/>
      <c r="T339" s="19" t="n"/>
      <c r="U339" s="17">
        <f>IF(O339&lt;&gt;"",338,"")</f>
        <v/>
      </c>
      <c r="V339" s="18">
        <f>IF(O339&lt;&gt;"",V338+O339,V338)</f>
        <v/>
      </c>
    </row>
    <row r="340">
      <c r="A340" s="8" t="n"/>
      <c r="B340" s="9" t="n"/>
      <c r="C340" s="8" t="n"/>
      <c r="D340" s="8" t="n"/>
      <c r="E340" s="8" t="n"/>
      <c r="F340" s="10" t="n"/>
      <c r="G340" s="10" t="n"/>
      <c r="H340" s="10" t="n"/>
      <c r="I340" s="11" t="n"/>
      <c r="J340" s="10">
        <f>IFERROR(IF(AND(F340&lt;&gt;"",G340&lt;&gt;"",I340&lt;&gt;""),ABS(F340-G340)*I340,""),"")</f>
        <v/>
      </c>
      <c r="K340" s="12">
        <f>IFERROR(IF(AND(F340&lt;&gt;"",G340&lt;&gt;"",H340&lt;&gt;""),ABS(H340-F340)/ABS(F340-G340),""),"")</f>
        <v/>
      </c>
      <c r="L340" s="9" t="n"/>
      <c r="M340" s="10" t="n"/>
      <c r="N340" s="10" t="n"/>
      <c r="O340" s="13">
        <f>IFERROR(IF(AND(M340&lt;&gt;"",F340&lt;&gt;"",I340&lt;&gt;""),IF(D340="Long",(M340-F340)*I340-IF(N340&lt;&gt;"",N340,0),IF(D340="Short",(F340-M340)*I340-IF(N340&lt;&gt;"",N340,0),"")),""),"")</f>
        <v/>
      </c>
      <c r="P340" s="14">
        <f>IFERROR(IF(AND(O340&lt;&gt;"",F340&lt;&gt;"",I340&lt;&gt;""),O340/(F340*I340),""),"")</f>
        <v/>
      </c>
      <c r="Q340" s="15">
        <f>IFERROR(IF(AND(O340&lt;&gt;"",J340&lt;&gt;"",J340&lt;&gt;0),O340/J340,""),"")</f>
        <v/>
      </c>
      <c r="R340" s="16">
        <f>IFERROR(IF(AND(L340&lt;&gt;"",B340&lt;&gt;""),L340-B340,""),"")</f>
        <v/>
      </c>
      <c r="S340" s="8" t="n"/>
      <c r="T340" s="8" t="n"/>
      <c r="U340" s="17">
        <f>IF(O340&lt;&gt;"",339,"")</f>
        <v/>
      </c>
      <c r="V340" s="18">
        <f>IF(O340&lt;&gt;"",V339+O340,V339)</f>
        <v/>
      </c>
    </row>
    <row r="341">
      <c r="A341" s="19" t="n"/>
      <c r="B341" s="20" t="n"/>
      <c r="C341" s="19" t="n"/>
      <c r="D341" s="19" t="n"/>
      <c r="E341" s="19" t="n"/>
      <c r="F341" s="21" t="n"/>
      <c r="G341" s="21" t="n"/>
      <c r="H341" s="21" t="n"/>
      <c r="I341" s="22" t="n"/>
      <c r="J341" s="21">
        <f>IFERROR(IF(AND(F341&lt;&gt;"",G341&lt;&gt;"",I341&lt;&gt;""),ABS(F341-G341)*I341,""),"")</f>
        <v/>
      </c>
      <c r="K341" s="23">
        <f>IFERROR(IF(AND(F341&lt;&gt;"",G341&lt;&gt;"",H341&lt;&gt;""),ABS(H341-F341)/ABS(F341-G341),""),"")</f>
        <v/>
      </c>
      <c r="L341" s="20" t="n"/>
      <c r="M341" s="21" t="n"/>
      <c r="N341" s="21" t="n"/>
      <c r="O341" s="24">
        <f>IFERROR(IF(AND(M341&lt;&gt;"",F341&lt;&gt;"",I341&lt;&gt;""),IF(D341="Long",(M341-F341)*I341-IF(N341&lt;&gt;"",N341,0),IF(D341="Short",(F341-M341)*I341-IF(N341&lt;&gt;"",N341,0),"")),""),"")</f>
        <v/>
      </c>
      <c r="P341" s="25">
        <f>IFERROR(IF(AND(O341&lt;&gt;"",F341&lt;&gt;"",I341&lt;&gt;""),O341/(F341*I341),""),"")</f>
        <v/>
      </c>
      <c r="Q341" s="26">
        <f>IFERROR(IF(AND(O341&lt;&gt;"",J341&lt;&gt;"",J341&lt;&gt;0),O341/J341,""),"")</f>
        <v/>
      </c>
      <c r="R341" s="27">
        <f>IFERROR(IF(AND(L341&lt;&gt;"",B341&lt;&gt;""),L341-B341,""),"")</f>
        <v/>
      </c>
      <c r="S341" s="19" t="n"/>
      <c r="T341" s="19" t="n"/>
      <c r="U341" s="17">
        <f>IF(O341&lt;&gt;"",340,"")</f>
        <v/>
      </c>
      <c r="V341" s="18">
        <f>IF(O341&lt;&gt;"",V340+O341,V340)</f>
        <v/>
      </c>
    </row>
    <row r="342">
      <c r="A342" s="8" t="n"/>
      <c r="B342" s="9" t="n"/>
      <c r="C342" s="8" t="n"/>
      <c r="D342" s="8" t="n"/>
      <c r="E342" s="8" t="n"/>
      <c r="F342" s="10" t="n"/>
      <c r="G342" s="10" t="n"/>
      <c r="H342" s="10" t="n"/>
      <c r="I342" s="11" t="n"/>
      <c r="J342" s="10">
        <f>IFERROR(IF(AND(F342&lt;&gt;"",G342&lt;&gt;"",I342&lt;&gt;""),ABS(F342-G342)*I342,""),"")</f>
        <v/>
      </c>
      <c r="K342" s="12">
        <f>IFERROR(IF(AND(F342&lt;&gt;"",G342&lt;&gt;"",H342&lt;&gt;""),ABS(H342-F342)/ABS(F342-G342),""),"")</f>
        <v/>
      </c>
      <c r="L342" s="9" t="n"/>
      <c r="M342" s="10" t="n"/>
      <c r="N342" s="10" t="n"/>
      <c r="O342" s="13">
        <f>IFERROR(IF(AND(M342&lt;&gt;"",F342&lt;&gt;"",I342&lt;&gt;""),IF(D342="Long",(M342-F342)*I342-IF(N342&lt;&gt;"",N342,0),IF(D342="Short",(F342-M342)*I342-IF(N342&lt;&gt;"",N342,0),"")),""),"")</f>
        <v/>
      </c>
      <c r="P342" s="14">
        <f>IFERROR(IF(AND(O342&lt;&gt;"",F342&lt;&gt;"",I342&lt;&gt;""),O342/(F342*I342),""),"")</f>
        <v/>
      </c>
      <c r="Q342" s="15">
        <f>IFERROR(IF(AND(O342&lt;&gt;"",J342&lt;&gt;"",J342&lt;&gt;0),O342/J342,""),"")</f>
        <v/>
      </c>
      <c r="R342" s="16">
        <f>IFERROR(IF(AND(L342&lt;&gt;"",B342&lt;&gt;""),L342-B342,""),"")</f>
        <v/>
      </c>
      <c r="S342" s="8" t="n"/>
      <c r="T342" s="8" t="n"/>
      <c r="U342" s="17">
        <f>IF(O342&lt;&gt;"",341,"")</f>
        <v/>
      </c>
      <c r="V342" s="18">
        <f>IF(O342&lt;&gt;"",V341+O342,V341)</f>
        <v/>
      </c>
    </row>
    <row r="343">
      <c r="A343" s="19" t="n"/>
      <c r="B343" s="20" t="n"/>
      <c r="C343" s="19" t="n"/>
      <c r="D343" s="19" t="n"/>
      <c r="E343" s="19" t="n"/>
      <c r="F343" s="21" t="n"/>
      <c r="G343" s="21" t="n"/>
      <c r="H343" s="21" t="n"/>
      <c r="I343" s="22" t="n"/>
      <c r="J343" s="21">
        <f>IFERROR(IF(AND(F343&lt;&gt;"",G343&lt;&gt;"",I343&lt;&gt;""),ABS(F343-G343)*I343,""),"")</f>
        <v/>
      </c>
      <c r="K343" s="23">
        <f>IFERROR(IF(AND(F343&lt;&gt;"",G343&lt;&gt;"",H343&lt;&gt;""),ABS(H343-F343)/ABS(F343-G343),""),"")</f>
        <v/>
      </c>
      <c r="L343" s="20" t="n"/>
      <c r="M343" s="21" t="n"/>
      <c r="N343" s="21" t="n"/>
      <c r="O343" s="24">
        <f>IFERROR(IF(AND(M343&lt;&gt;"",F343&lt;&gt;"",I343&lt;&gt;""),IF(D343="Long",(M343-F343)*I343-IF(N343&lt;&gt;"",N343,0),IF(D343="Short",(F343-M343)*I343-IF(N343&lt;&gt;"",N343,0),"")),""),"")</f>
        <v/>
      </c>
      <c r="P343" s="25">
        <f>IFERROR(IF(AND(O343&lt;&gt;"",F343&lt;&gt;"",I343&lt;&gt;""),O343/(F343*I343),""),"")</f>
        <v/>
      </c>
      <c r="Q343" s="26">
        <f>IFERROR(IF(AND(O343&lt;&gt;"",J343&lt;&gt;"",J343&lt;&gt;0),O343/J343,""),"")</f>
        <v/>
      </c>
      <c r="R343" s="27">
        <f>IFERROR(IF(AND(L343&lt;&gt;"",B343&lt;&gt;""),L343-B343,""),"")</f>
        <v/>
      </c>
      <c r="S343" s="19" t="n"/>
      <c r="T343" s="19" t="n"/>
      <c r="U343" s="17">
        <f>IF(O343&lt;&gt;"",342,"")</f>
        <v/>
      </c>
      <c r="V343" s="18">
        <f>IF(O343&lt;&gt;"",V342+O343,V342)</f>
        <v/>
      </c>
    </row>
    <row r="344">
      <c r="A344" s="8" t="n"/>
      <c r="B344" s="9" t="n"/>
      <c r="C344" s="8" t="n"/>
      <c r="D344" s="8" t="n"/>
      <c r="E344" s="8" t="n"/>
      <c r="F344" s="10" t="n"/>
      <c r="G344" s="10" t="n"/>
      <c r="H344" s="10" t="n"/>
      <c r="I344" s="11" t="n"/>
      <c r="J344" s="10">
        <f>IFERROR(IF(AND(F344&lt;&gt;"",G344&lt;&gt;"",I344&lt;&gt;""),ABS(F344-G344)*I344,""),"")</f>
        <v/>
      </c>
      <c r="K344" s="12">
        <f>IFERROR(IF(AND(F344&lt;&gt;"",G344&lt;&gt;"",H344&lt;&gt;""),ABS(H344-F344)/ABS(F344-G344),""),"")</f>
        <v/>
      </c>
      <c r="L344" s="9" t="n"/>
      <c r="M344" s="10" t="n"/>
      <c r="N344" s="10" t="n"/>
      <c r="O344" s="13">
        <f>IFERROR(IF(AND(M344&lt;&gt;"",F344&lt;&gt;"",I344&lt;&gt;""),IF(D344="Long",(M344-F344)*I344-IF(N344&lt;&gt;"",N344,0),IF(D344="Short",(F344-M344)*I344-IF(N344&lt;&gt;"",N344,0),"")),""),"")</f>
        <v/>
      </c>
      <c r="P344" s="14">
        <f>IFERROR(IF(AND(O344&lt;&gt;"",F344&lt;&gt;"",I344&lt;&gt;""),O344/(F344*I344),""),"")</f>
        <v/>
      </c>
      <c r="Q344" s="15">
        <f>IFERROR(IF(AND(O344&lt;&gt;"",J344&lt;&gt;"",J344&lt;&gt;0),O344/J344,""),"")</f>
        <v/>
      </c>
      <c r="R344" s="16">
        <f>IFERROR(IF(AND(L344&lt;&gt;"",B344&lt;&gt;""),L344-B344,""),"")</f>
        <v/>
      </c>
      <c r="S344" s="8" t="n"/>
      <c r="T344" s="8" t="n"/>
      <c r="U344" s="17">
        <f>IF(O344&lt;&gt;"",343,"")</f>
        <v/>
      </c>
      <c r="V344" s="18">
        <f>IF(O344&lt;&gt;"",V343+O344,V343)</f>
        <v/>
      </c>
    </row>
    <row r="345">
      <c r="A345" s="19" t="n"/>
      <c r="B345" s="20" t="n"/>
      <c r="C345" s="19" t="n"/>
      <c r="D345" s="19" t="n"/>
      <c r="E345" s="19" t="n"/>
      <c r="F345" s="21" t="n"/>
      <c r="G345" s="21" t="n"/>
      <c r="H345" s="21" t="n"/>
      <c r="I345" s="22" t="n"/>
      <c r="J345" s="21">
        <f>IFERROR(IF(AND(F345&lt;&gt;"",G345&lt;&gt;"",I345&lt;&gt;""),ABS(F345-G345)*I345,""),"")</f>
        <v/>
      </c>
      <c r="K345" s="23">
        <f>IFERROR(IF(AND(F345&lt;&gt;"",G345&lt;&gt;"",H345&lt;&gt;""),ABS(H345-F345)/ABS(F345-G345),""),"")</f>
        <v/>
      </c>
      <c r="L345" s="20" t="n"/>
      <c r="M345" s="21" t="n"/>
      <c r="N345" s="21" t="n"/>
      <c r="O345" s="24">
        <f>IFERROR(IF(AND(M345&lt;&gt;"",F345&lt;&gt;"",I345&lt;&gt;""),IF(D345="Long",(M345-F345)*I345-IF(N345&lt;&gt;"",N345,0),IF(D345="Short",(F345-M345)*I345-IF(N345&lt;&gt;"",N345,0),"")),""),"")</f>
        <v/>
      </c>
      <c r="P345" s="25">
        <f>IFERROR(IF(AND(O345&lt;&gt;"",F345&lt;&gt;"",I345&lt;&gt;""),O345/(F345*I345),""),"")</f>
        <v/>
      </c>
      <c r="Q345" s="26">
        <f>IFERROR(IF(AND(O345&lt;&gt;"",J345&lt;&gt;"",J345&lt;&gt;0),O345/J345,""),"")</f>
        <v/>
      </c>
      <c r="R345" s="27">
        <f>IFERROR(IF(AND(L345&lt;&gt;"",B345&lt;&gt;""),L345-B345,""),"")</f>
        <v/>
      </c>
      <c r="S345" s="19" t="n"/>
      <c r="T345" s="19" t="n"/>
      <c r="U345" s="17">
        <f>IF(O345&lt;&gt;"",344,"")</f>
        <v/>
      </c>
      <c r="V345" s="18">
        <f>IF(O345&lt;&gt;"",V344+O345,V344)</f>
        <v/>
      </c>
    </row>
    <row r="346">
      <c r="A346" s="8" t="n"/>
      <c r="B346" s="9" t="n"/>
      <c r="C346" s="8" t="n"/>
      <c r="D346" s="8" t="n"/>
      <c r="E346" s="8" t="n"/>
      <c r="F346" s="10" t="n"/>
      <c r="G346" s="10" t="n"/>
      <c r="H346" s="10" t="n"/>
      <c r="I346" s="11" t="n"/>
      <c r="J346" s="10">
        <f>IFERROR(IF(AND(F346&lt;&gt;"",G346&lt;&gt;"",I346&lt;&gt;""),ABS(F346-G346)*I346,""),"")</f>
        <v/>
      </c>
      <c r="K346" s="12">
        <f>IFERROR(IF(AND(F346&lt;&gt;"",G346&lt;&gt;"",H346&lt;&gt;""),ABS(H346-F346)/ABS(F346-G346),""),"")</f>
        <v/>
      </c>
      <c r="L346" s="9" t="n"/>
      <c r="M346" s="10" t="n"/>
      <c r="N346" s="10" t="n"/>
      <c r="O346" s="13">
        <f>IFERROR(IF(AND(M346&lt;&gt;"",F346&lt;&gt;"",I346&lt;&gt;""),IF(D346="Long",(M346-F346)*I346-IF(N346&lt;&gt;"",N346,0),IF(D346="Short",(F346-M346)*I346-IF(N346&lt;&gt;"",N346,0),"")),""),"")</f>
        <v/>
      </c>
      <c r="P346" s="14">
        <f>IFERROR(IF(AND(O346&lt;&gt;"",F346&lt;&gt;"",I346&lt;&gt;""),O346/(F346*I346),""),"")</f>
        <v/>
      </c>
      <c r="Q346" s="15">
        <f>IFERROR(IF(AND(O346&lt;&gt;"",J346&lt;&gt;"",J346&lt;&gt;0),O346/J346,""),"")</f>
        <v/>
      </c>
      <c r="R346" s="16">
        <f>IFERROR(IF(AND(L346&lt;&gt;"",B346&lt;&gt;""),L346-B346,""),"")</f>
        <v/>
      </c>
      <c r="S346" s="8" t="n"/>
      <c r="T346" s="8" t="n"/>
      <c r="U346" s="17">
        <f>IF(O346&lt;&gt;"",345,"")</f>
        <v/>
      </c>
      <c r="V346" s="18">
        <f>IF(O346&lt;&gt;"",V345+O346,V345)</f>
        <v/>
      </c>
    </row>
    <row r="347">
      <c r="A347" s="19" t="n"/>
      <c r="B347" s="20" t="n"/>
      <c r="C347" s="19" t="n"/>
      <c r="D347" s="19" t="n"/>
      <c r="E347" s="19" t="n"/>
      <c r="F347" s="21" t="n"/>
      <c r="G347" s="21" t="n"/>
      <c r="H347" s="21" t="n"/>
      <c r="I347" s="22" t="n"/>
      <c r="J347" s="21">
        <f>IFERROR(IF(AND(F347&lt;&gt;"",G347&lt;&gt;"",I347&lt;&gt;""),ABS(F347-G347)*I347,""),"")</f>
        <v/>
      </c>
      <c r="K347" s="23">
        <f>IFERROR(IF(AND(F347&lt;&gt;"",G347&lt;&gt;"",H347&lt;&gt;""),ABS(H347-F347)/ABS(F347-G347),""),"")</f>
        <v/>
      </c>
      <c r="L347" s="20" t="n"/>
      <c r="M347" s="21" t="n"/>
      <c r="N347" s="21" t="n"/>
      <c r="O347" s="24">
        <f>IFERROR(IF(AND(M347&lt;&gt;"",F347&lt;&gt;"",I347&lt;&gt;""),IF(D347="Long",(M347-F347)*I347-IF(N347&lt;&gt;"",N347,0),IF(D347="Short",(F347-M347)*I347-IF(N347&lt;&gt;"",N347,0),"")),""),"")</f>
        <v/>
      </c>
      <c r="P347" s="25">
        <f>IFERROR(IF(AND(O347&lt;&gt;"",F347&lt;&gt;"",I347&lt;&gt;""),O347/(F347*I347),""),"")</f>
        <v/>
      </c>
      <c r="Q347" s="26">
        <f>IFERROR(IF(AND(O347&lt;&gt;"",J347&lt;&gt;"",J347&lt;&gt;0),O347/J347,""),"")</f>
        <v/>
      </c>
      <c r="R347" s="27">
        <f>IFERROR(IF(AND(L347&lt;&gt;"",B347&lt;&gt;""),L347-B347,""),"")</f>
        <v/>
      </c>
      <c r="S347" s="19" t="n"/>
      <c r="T347" s="19" t="n"/>
      <c r="U347" s="17">
        <f>IF(O347&lt;&gt;"",346,"")</f>
        <v/>
      </c>
      <c r="V347" s="18">
        <f>IF(O347&lt;&gt;"",V346+O347,V346)</f>
        <v/>
      </c>
    </row>
    <row r="348">
      <c r="A348" s="8" t="n"/>
      <c r="B348" s="9" t="n"/>
      <c r="C348" s="8" t="n"/>
      <c r="D348" s="8" t="n"/>
      <c r="E348" s="8" t="n"/>
      <c r="F348" s="10" t="n"/>
      <c r="G348" s="10" t="n"/>
      <c r="H348" s="10" t="n"/>
      <c r="I348" s="11" t="n"/>
      <c r="J348" s="10">
        <f>IFERROR(IF(AND(F348&lt;&gt;"",G348&lt;&gt;"",I348&lt;&gt;""),ABS(F348-G348)*I348,""),"")</f>
        <v/>
      </c>
      <c r="K348" s="12">
        <f>IFERROR(IF(AND(F348&lt;&gt;"",G348&lt;&gt;"",H348&lt;&gt;""),ABS(H348-F348)/ABS(F348-G348),""),"")</f>
        <v/>
      </c>
      <c r="L348" s="9" t="n"/>
      <c r="M348" s="10" t="n"/>
      <c r="N348" s="10" t="n"/>
      <c r="O348" s="13">
        <f>IFERROR(IF(AND(M348&lt;&gt;"",F348&lt;&gt;"",I348&lt;&gt;""),IF(D348="Long",(M348-F348)*I348-IF(N348&lt;&gt;"",N348,0),IF(D348="Short",(F348-M348)*I348-IF(N348&lt;&gt;"",N348,0),"")),""),"")</f>
        <v/>
      </c>
      <c r="P348" s="14">
        <f>IFERROR(IF(AND(O348&lt;&gt;"",F348&lt;&gt;"",I348&lt;&gt;""),O348/(F348*I348),""),"")</f>
        <v/>
      </c>
      <c r="Q348" s="15">
        <f>IFERROR(IF(AND(O348&lt;&gt;"",J348&lt;&gt;"",J348&lt;&gt;0),O348/J348,""),"")</f>
        <v/>
      </c>
      <c r="R348" s="16">
        <f>IFERROR(IF(AND(L348&lt;&gt;"",B348&lt;&gt;""),L348-B348,""),"")</f>
        <v/>
      </c>
      <c r="S348" s="8" t="n"/>
      <c r="T348" s="8" t="n"/>
      <c r="U348" s="17">
        <f>IF(O348&lt;&gt;"",347,"")</f>
        <v/>
      </c>
      <c r="V348" s="18">
        <f>IF(O348&lt;&gt;"",V347+O348,V347)</f>
        <v/>
      </c>
    </row>
    <row r="349">
      <c r="A349" s="19" t="n"/>
      <c r="B349" s="20" t="n"/>
      <c r="C349" s="19" t="n"/>
      <c r="D349" s="19" t="n"/>
      <c r="E349" s="19" t="n"/>
      <c r="F349" s="21" t="n"/>
      <c r="G349" s="21" t="n"/>
      <c r="H349" s="21" t="n"/>
      <c r="I349" s="22" t="n"/>
      <c r="J349" s="21">
        <f>IFERROR(IF(AND(F349&lt;&gt;"",G349&lt;&gt;"",I349&lt;&gt;""),ABS(F349-G349)*I349,""),"")</f>
        <v/>
      </c>
      <c r="K349" s="23">
        <f>IFERROR(IF(AND(F349&lt;&gt;"",G349&lt;&gt;"",H349&lt;&gt;""),ABS(H349-F349)/ABS(F349-G349),""),"")</f>
        <v/>
      </c>
      <c r="L349" s="20" t="n"/>
      <c r="M349" s="21" t="n"/>
      <c r="N349" s="21" t="n"/>
      <c r="O349" s="24">
        <f>IFERROR(IF(AND(M349&lt;&gt;"",F349&lt;&gt;"",I349&lt;&gt;""),IF(D349="Long",(M349-F349)*I349-IF(N349&lt;&gt;"",N349,0),IF(D349="Short",(F349-M349)*I349-IF(N349&lt;&gt;"",N349,0),"")),""),"")</f>
        <v/>
      </c>
      <c r="P349" s="25">
        <f>IFERROR(IF(AND(O349&lt;&gt;"",F349&lt;&gt;"",I349&lt;&gt;""),O349/(F349*I349),""),"")</f>
        <v/>
      </c>
      <c r="Q349" s="26">
        <f>IFERROR(IF(AND(O349&lt;&gt;"",J349&lt;&gt;"",J349&lt;&gt;0),O349/J349,""),"")</f>
        <v/>
      </c>
      <c r="R349" s="27">
        <f>IFERROR(IF(AND(L349&lt;&gt;"",B349&lt;&gt;""),L349-B349,""),"")</f>
        <v/>
      </c>
      <c r="S349" s="19" t="n"/>
      <c r="T349" s="19" t="n"/>
      <c r="U349" s="17">
        <f>IF(O349&lt;&gt;"",348,"")</f>
        <v/>
      </c>
      <c r="V349" s="18">
        <f>IF(O349&lt;&gt;"",V348+O349,V348)</f>
        <v/>
      </c>
    </row>
    <row r="350">
      <c r="A350" s="8" t="n"/>
      <c r="B350" s="9" t="n"/>
      <c r="C350" s="8" t="n"/>
      <c r="D350" s="8" t="n"/>
      <c r="E350" s="8" t="n"/>
      <c r="F350" s="10" t="n"/>
      <c r="G350" s="10" t="n"/>
      <c r="H350" s="10" t="n"/>
      <c r="I350" s="11" t="n"/>
      <c r="J350" s="10">
        <f>IFERROR(IF(AND(F350&lt;&gt;"",G350&lt;&gt;"",I350&lt;&gt;""),ABS(F350-G350)*I350,""),"")</f>
        <v/>
      </c>
      <c r="K350" s="12">
        <f>IFERROR(IF(AND(F350&lt;&gt;"",G350&lt;&gt;"",H350&lt;&gt;""),ABS(H350-F350)/ABS(F350-G350),""),"")</f>
        <v/>
      </c>
      <c r="L350" s="9" t="n"/>
      <c r="M350" s="10" t="n"/>
      <c r="N350" s="10" t="n"/>
      <c r="O350" s="13">
        <f>IFERROR(IF(AND(M350&lt;&gt;"",F350&lt;&gt;"",I350&lt;&gt;""),IF(D350="Long",(M350-F350)*I350-IF(N350&lt;&gt;"",N350,0),IF(D350="Short",(F350-M350)*I350-IF(N350&lt;&gt;"",N350,0),"")),""),"")</f>
        <v/>
      </c>
      <c r="P350" s="14">
        <f>IFERROR(IF(AND(O350&lt;&gt;"",F350&lt;&gt;"",I350&lt;&gt;""),O350/(F350*I350),""),"")</f>
        <v/>
      </c>
      <c r="Q350" s="15">
        <f>IFERROR(IF(AND(O350&lt;&gt;"",J350&lt;&gt;"",J350&lt;&gt;0),O350/J350,""),"")</f>
        <v/>
      </c>
      <c r="R350" s="16">
        <f>IFERROR(IF(AND(L350&lt;&gt;"",B350&lt;&gt;""),L350-B350,""),"")</f>
        <v/>
      </c>
      <c r="S350" s="8" t="n"/>
      <c r="T350" s="8" t="n"/>
      <c r="U350" s="17">
        <f>IF(O350&lt;&gt;"",349,"")</f>
        <v/>
      </c>
      <c r="V350" s="18">
        <f>IF(O350&lt;&gt;"",V349+O350,V349)</f>
        <v/>
      </c>
    </row>
    <row r="351">
      <c r="A351" s="19" t="n"/>
      <c r="B351" s="20" t="n"/>
      <c r="C351" s="19" t="n"/>
      <c r="D351" s="19" t="n"/>
      <c r="E351" s="19" t="n"/>
      <c r="F351" s="21" t="n"/>
      <c r="G351" s="21" t="n"/>
      <c r="H351" s="21" t="n"/>
      <c r="I351" s="22" t="n"/>
      <c r="J351" s="21">
        <f>IFERROR(IF(AND(F351&lt;&gt;"",G351&lt;&gt;"",I351&lt;&gt;""),ABS(F351-G351)*I351,""),"")</f>
        <v/>
      </c>
      <c r="K351" s="23">
        <f>IFERROR(IF(AND(F351&lt;&gt;"",G351&lt;&gt;"",H351&lt;&gt;""),ABS(H351-F351)/ABS(F351-G351),""),"")</f>
        <v/>
      </c>
      <c r="L351" s="20" t="n"/>
      <c r="M351" s="21" t="n"/>
      <c r="N351" s="21" t="n"/>
      <c r="O351" s="24">
        <f>IFERROR(IF(AND(M351&lt;&gt;"",F351&lt;&gt;"",I351&lt;&gt;""),IF(D351="Long",(M351-F351)*I351-IF(N351&lt;&gt;"",N351,0),IF(D351="Short",(F351-M351)*I351-IF(N351&lt;&gt;"",N351,0),"")),""),"")</f>
        <v/>
      </c>
      <c r="P351" s="25">
        <f>IFERROR(IF(AND(O351&lt;&gt;"",F351&lt;&gt;"",I351&lt;&gt;""),O351/(F351*I351),""),"")</f>
        <v/>
      </c>
      <c r="Q351" s="26">
        <f>IFERROR(IF(AND(O351&lt;&gt;"",J351&lt;&gt;"",J351&lt;&gt;0),O351/J351,""),"")</f>
        <v/>
      </c>
      <c r="R351" s="27">
        <f>IFERROR(IF(AND(L351&lt;&gt;"",B351&lt;&gt;""),L351-B351,""),"")</f>
        <v/>
      </c>
      <c r="S351" s="19" t="n"/>
      <c r="T351" s="19" t="n"/>
      <c r="U351" s="17">
        <f>IF(O351&lt;&gt;"",350,"")</f>
        <v/>
      </c>
      <c r="V351" s="18">
        <f>IF(O351&lt;&gt;"",V350+O351,V350)</f>
        <v/>
      </c>
    </row>
    <row r="352">
      <c r="A352" s="8" t="n"/>
      <c r="B352" s="9" t="n"/>
      <c r="C352" s="8" t="n"/>
      <c r="D352" s="8" t="n"/>
      <c r="E352" s="8" t="n"/>
      <c r="F352" s="10" t="n"/>
      <c r="G352" s="10" t="n"/>
      <c r="H352" s="10" t="n"/>
      <c r="I352" s="11" t="n"/>
      <c r="J352" s="10">
        <f>IFERROR(IF(AND(F352&lt;&gt;"",G352&lt;&gt;"",I352&lt;&gt;""),ABS(F352-G352)*I352,""),"")</f>
        <v/>
      </c>
      <c r="K352" s="12">
        <f>IFERROR(IF(AND(F352&lt;&gt;"",G352&lt;&gt;"",H352&lt;&gt;""),ABS(H352-F352)/ABS(F352-G352),""),"")</f>
        <v/>
      </c>
      <c r="L352" s="9" t="n"/>
      <c r="M352" s="10" t="n"/>
      <c r="N352" s="10" t="n"/>
      <c r="O352" s="13">
        <f>IFERROR(IF(AND(M352&lt;&gt;"",F352&lt;&gt;"",I352&lt;&gt;""),IF(D352="Long",(M352-F352)*I352-IF(N352&lt;&gt;"",N352,0),IF(D352="Short",(F352-M352)*I352-IF(N352&lt;&gt;"",N352,0),"")),""),"")</f>
        <v/>
      </c>
      <c r="P352" s="14">
        <f>IFERROR(IF(AND(O352&lt;&gt;"",F352&lt;&gt;"",I352&lt;&gt;""),O352/(F352*I352),""),"")</f>
        <v/>
      </c>
      <c r="Q352" s="15">
        <f>IFERROR(IF(AND(O352&lt;&gt;"",J352&lt;&gt;"",J352&lt;&gt;0),O352/J352,""),"")</f>
        <v/>
      </c>
      <c r="R352" s="16">
        <f>IFERROR(IF(AND(L352&lt;&gt;"",B352&lt;&gt;""),L352-B352,""),"")</f>
        <v/>
      </c>
      <c r="S352" s="8" t="n"/>
      <c r="T352" s="8" t="n"/>
      <c r="U352" s="17">
        <f>IF(O352&lt;&gt;"",351,"")</f>
        <v/>
      </c>
      <c r="V352" s="18">
        <f>IF(O352&lt;&gt;"",V351+O352,V351)</f>
        <v/>
      </c>
    </row>
    <row r="353">
      <c r="A353" s="19" t="n"/>
      <c r="B353" s="20" t="n"/>
      <c r="C353" s="19" t="n"/>
      <c r="D353" s="19" t="n"/>
      <c r="E353" s="19" t="n"/>
      <c r="F353" s="21" t="n"/>
      <c r="G353" s="21" t="n"/>
      <c r="H353" s="21" t="n"/>
      <c r="I353" s="22" t="n"/>
      <c r="J353" s="21">
        <f>IFERROR(IF(AND(F353&lt;&gt;"",G353&lt;&gt;"",I353&lt;&gt;""),ABS(F353-G353)*I353,""),"")</f>
        <v/>
      </c>
      <c r="K353" s="23">
        <f>IFERROR(IF(AND(F353&lt;&gt;"",G353&lt;&gt;"",H353&lt;&gt;""),ABS(H353-F353)/ABS(F353-G353),""),"")</f>
        <v/>
      </c>
      <c r="L353" s="20" t="n"/>
      <c r="M353" s="21" t="n"/>
      <c r="N353" s="21" t="n"/>
      <c r="O353" s="24">
        <f>IFERROR(IF(AND(M353&lt;&gt;"",F353&lt;&gt;"",I353&lt;&gt;""),IF(D353="Long",(M353-F353)*I353-IF(N353&lt;&gt;"",N353,0),IF(D353="Short",(F353-M353)*I353-IF(N353&lt;&gt;"",N353,0),"")),""),"")</f>
        <v/>
      </c>
      <c r="P353" s="25">
        <f>IFERROR(IF(AND(O353&lt;&gt;"",F353&lt;&gt;"",I353&lt;&gt;""),O353/(F353*I353),""),"")</f>
        <v/>
      </c>
      <c r="Q353" s="26">
        <f>IFERROR(IF(AND(O353&lt;&gt;"",J353&lt;&gt;"",J353&lt;&gt;0),O353/J353,""),"")</f>
        <v/>
      </c>
      <c r="R353" s="27">
        <f>IFERROR(IF(AND(L353&lt;&gt;"",B353&lt;&gt;""),L353-B353,""),"")</f>
        <v/>
      </c>
      <c r="S353" s="19" t="n"/>
      <c r="T353" s="19" t="n"/>
      <c r="U353" s="17">
        <f>IF(O353&lt;&gt;"",352,"")</f>
        <v/>
      </c>
      <c r="V353" s="18">
        <f>IF(O353&lt;&gt;"",V352+O353,V352)</f>
        <v/>
      </c>
    </row>
    <row r="354">
      <c r="A354" s="8" t="n"/>
      <c r="B354" s="9" t="n"/>
      <c r="C354" s="8" t="n"/>
      <c r="D354" s="8" t="n"/>
      <c r="E354" s="8" t="n"/>
      <c r="F354" s="10" t="n"/>
      <c r="G354" s="10" t="n"/>
      <c r="H354" s="10" t="n"/>
      <c r="I354" s="11" t="n"/>
      <c r="J354" s="10">
        <f>IFERROR(IF(AND(F354&lt;&gt;"",G354&lt;&gt;"",I354&lt;&gt;""),ABS(F354-G354)*I354,""),"")</f>
        <v/>
      </c>
      <c r="K354" s="12">
        <f>IFERROR(IF(AND(F354&lt;&gt;"",G354&lt;&gt;"",H354&lt;&gt;""),ABS(H354-F354)/ABS(F354-G354),""),"")</f>
        <v/>
      </c>
      <c r="L354" s="9" t="n"/>
      <c r="M354" s="10" t="n"/>
      <c r="N354" s="10" t="n"/>
      <c r="O354" s="13">
        <f>IFERROR(IF(AND(M354&lt;&gt;"",F354&lt;&gt;"",I354&lt;&gt;""),IF(D354="Long",(M354-F354)*I354-IF(N354&lt;&gt;"",N354,0),IF(D354="Short",(F354-M354)*I354-IF(N354&lt;&gt;"",N354,0),"")),""),"")</f>
        <v/>
      </c>
      <c r="P354" s="14">
        <f>IFERROR(IF(AND(O354&lt;&gt;"",F354&lt;&gt;"",I354&lt;&gt;""),O354/(F354*I354),""),"")</f>
        <v/>
      </c>
      <c r="Q354" s="15">
        <f>IFERROR(IF(AND(O354&lt;&gt;"",J354&lt;&gt;"",J354&lt;&gt;0),O354/J354,""),"")</f>
        <v/>
      </c>
      <c r="R354" s="16">
        <f>IFERROR(IF(AND(L354&lt;&gt;"",B354&lt;&gt;""),L354-B354,""),"")</f>
        <v/>
      </c>
      <c r="S354" s="8" t="n"/>
      <c r="T354" s="8" t="n"/>
      <c r="U354" s="17">
        <f>IF(O354&lt;&gt;"",353,"")</f>
        <v/>
      </c>
      <c r="V354" s="18">
        <f>IF(O354&lt;&gt;"",V353+O354,V353)</f>
        <v/>
      </c>
    </row>
    <row r="355">
      <c r="A355" s="19" t="n"/>
      <c r="B355" s="20" t="n"/>
      <c r="C355" s="19" t="n"/>
      <c r="D355" s="19" t="n"/>
      <c r="E355" s="19" t="n"/>
      <c r="F355" s="21" t="n"/>
      <c r="G355" s="21" t="n"/>
      <c r="H355" s="21" t="n"/>
      <c r="I355" s="22" t="n"/>
      <c r="J355" s="21">
        <f>IFERROR(IF(AND(F355&lt;&gt;"",G355&lt;&gt;"",I355&lt;&gt;""),ABS(F355-G355)*I355,""),"")</f>
        <v/>
      </c>
      <c r="K355" s="23">
        <f>IFERROR(IF(AND(F355&lt;&gt;"",G355&lt;&gt;"",H355&lt;&gt;""),ABS(H355-F355)/ABS(F355-G355),""),"")</f>
        <v/>
      </c>
      <c r="L355" s="20" t="n"/>
      <c r="M355" s="21" t="n"/>
      <c r="N355" s="21" t="n"/>
      <c r="O355" s="24">
        <f>IFERROR(IF(AND(M355&lt;&gt;"",F355&lt;&gt;"",I355&lt;&gt;""),IF(D355="Long",(M355-F355)*I355-IF(N355&lt;&gt;"",N355,0),IF(D355="Short",(F355-M355)*I355-IF(N355&lt;&gt;"",N355,0),"")),""),"")</f>
        <v/>
      </c>
      <c r="P355" s="25">
        <f>IFERROR(IF(AND(O355&lt;&gt;"",F355&lt;&gt;"",I355&lt;&gt;""),O355/(F355*I355),""),"")</f>
        <v/>
      </c>
      <c r="Q355" s="26">
        <f>IFERROR(IF(AND(O355&lt;&gt;"",J355&lt;&gt;"",J355&lt;&gt;0),O355/J355,""),"")</f>
        <v/>
      </c>
      <c r="R355" s="27">
        <f>IFERROR(IF(AND(L355&lt;&gt;"",B355&lt;&gt;""),L355-B355,""),"")</f>
        <v/>
      </c>
      <c r="S355" s="19" t="n"/>
      <c r="T355" s="19" t="n"/>
      <c r="U355" s="17">
        <f>IF(O355&lt;&gt;"",354,"")</f>
        <v/>
      </c>
      <c r="V355" s="18">
        <f>IF(O355&lt;&gt;"",V354+O355,V354)</f>
        <v/>
      </c>
    </row>
    <row r="356">
      <c r="A356" s="8" t="n"/>
      <c r="B356" s="9" t="n"/>
      <c r="C356" s="8" t="n"/>
      <c r="D356" s="8" t="n"/>
      <c r="E356" s="8" t="n"/>
      <c r="F356" s="10" t="n"/>
      <c r="G356" s="10" t="n"/>
      <c r="H356" s="10" t="n"/>
      <c r="I356" s="11" t="n"/>
      <c r="J356" s="10">
        <f>IFERROR(IF(AND(F356&lt;&gt;"",G356&lt;&gt;"",I356&lt;&gt;""),ABS(F356-G356)*I356,""),"")</f>
        <v/>
      </c>
      <c r="K356" s="12">
        <f>IFERROR(IF(AND(F356&lt;&gt;"",G356&lt;&gt;"",H356&lt;&gt;""),ABS(H356-F356)/ABS(F356-G356),""),"")</f>
        <v/>
      </c>
      <c r="L356" s="9" t="n"/>
      <c r="M356" s="10" t="n"/>
      <c r="N356" s="10" t="n"/>
      <c r="O356" s="13">
        <f>IFERROR(IF(AND(M356&lt;&gt;"",F356&lt;&gt;"",I356&lt;&gt;""),IF(D356="Long",(M356-F356)*I356-IF(N356&lt;&gt;"",N356,0),IF(D356="Short",(F356-M356)*I356-IF(N356&lt;&gt;"",N356,0),"")),""),"")</f>
        <v/>
      </c>
      <c r="P356" s="14">
        <f>IFERROR(IF(AND(O356&lt;&gt;"",F356&lt;&gt;"",I356&lt;&gt;""),O356/(F356*I356),""),"")</f>
        <v/>
      </c>
      <c r="Q356" s="15">
        <f>IFERROR(IF(AND(O356&lt;&gt;"",J356&lt;&gt;"",J356&lt;&gt;0),O356/J356,""),"")</f>
        <v/>
      </c>
      <c r="R356" s="16">
        <f>IFERROR(IF(AND(L356&lt;&gt;"",B356&lt;&gt;""),L356-B356,""),"")</f>
        <v/>
      </c>
      <c r="S356" s="8" t="n"/>
      <c r="T356" s="8" t="n"/>
      <c r="U356" s="17">
        <f>IF(O356&lt;&gt;"",355,"")</f>
        <v/>
      </c>
      <c r="V356" s="18">
        <f>IF(O356&lt;&gt;"",V355+O356,V355)</f>
        <v/>
      </c>
    </row>
    <row r="357">
      <c r="A357" s="19" t="n"/>
      <c r="B357" s="20" t="n"/>
      <c r="C357" s="19" t="n"/>
      <c r="D357" s="19" t="n"/>
      <c r="E357" s="19" t="n"/>
      <c r="F357" s="21" t="n"/>
      <c r="G357" s="21" t="n"/>
      <c r="H357" s="21" t="n"/>
      <c r="I357" s="22" t="n"/>
      <c r="J357" s="21">
        <f>IFERROR(IF(AND(F357&lt;&gt;"",G357&lt;&gt;"",I357&lt;&gt;""),ABS(F357-G357)*I357,""),"")</f>
        <v/>
      </c>
      <c r="K357" s="23">
        <f>IFERROR(IF(AND(F357&lt;&gt;"",G357&lt;&gt;"",H357&lt;&gt;""),ABS(H357-F357)/ABS(F357-G357),""),"")</f>
        <v/>
      </c>
      <c r="L357" s="20" t="n"/>
      <c r="M357" s="21" t="n"/>
      <c r="N357" s="21" t="n"/>
      <c r="O357" s="24">
        <f>IFERROR(IF(AND(M357&lt;&gt;"",F357&lt;&gt;"",I357&lt;&gt;""),IF(D357="Long",(M357-F357)*I357-IF(N357&lt;&gt;"",N357,0),IF(D357="Short",(F357-M357)*I357-IF(N357&lt;&gt;"",N357,0),"")),""),"")</f>
        <v/>
      </c>
      <c r="P357" s="25">
        <f>IFERROR(IF(AND(O357&lt;&gt;"",F357&lt;&gt;"",I357&lt;&gt;""),O357/(F357*I357),""),"")</f>
        <v/>
      </c>
      <c r="Q357" s="26">
        <f>IFERROR(IF(AND(O357&lt;&gt;"",J357&lt;&gt;"",J357&lt;&gt;0),O357/J357,""),"")</f>
        <v/>
      </c>
      <c r="R357" s="27">
        <f>IFERROR(IF(AND(L357&lt;&gt;"",B357&lt;&gt;""),L357-B357,""),"")</f>
        <v/>
      </c>
      <c r="S357" s="19" t="n"/>
      <c r="T357" s="19" t="n"/>
      <c r="U357" s="17">
        <f>IF(O357&lt;&gt;"",356,"")</f>
        <v/>
      </c>
      <c r="V357" s="18">
        <f>IF(O357&lt;&gt;"",V356+O357,V356)</f>
        <v/>
      </c>
    </row>
    <row r="358">
      <c r="A358" s="8" t="n"/>
      <c r="B358" s="9" t="n"/>
      <c r="C358" s="8" t="n"/>
      <c r="D358" s="8" t="n"/>
      <c r="E358" s="8" t="n"/>
      <c r="F358" s="10" t="n"/>
      <c r="G358" s="10" t="n"/>
      <c r="H358" s="10" t="n"/>
      <c r="I358" s="11" t="n"/>
      <c r="J358" s="10">
        <f>IFERROR(IF(AND(F358&lt;&gt;"",G358&lt;&gt;"",I358&lt;&gt;""),ABS(F358-G358)*I358,""),"")</f>
        <v/>
      </c>
      <c r="K358" s="12">
        <f>IFERROR(IF(AND(F358&lt;&gt;"",G358&lt;&gt;"",H358&lt;&gt;""),ABS(H358-F358)/ABS(F358-G358),""),"")</f>
        <v/>
      </c>
      <c r="L358" s="9" t="n"/>
      <c r="M358" s="10" t="n"/>
      <c r="N358" s="10" t="n"/>
      <c r="O358" s="13">
        <f>IFERROR(IF(AND(M358&lt;&gt;"",F358&lt;&gt;"",I358&lt;&gt;""),IF(D358="Long",(M358-F358)*I358-IF(N358&lt;&gt;"",N358,0),IF(D358="Short",(F358-M358)*I358-IF(N358&lt;&gt;"",N358,0),"")),""),"")</f>
        <v/>
      </c>
      <c r="P358" s="14">
        <f>IFERROR(IF(AND(O358&lt;&gt;"",F358&lt;&gt;"",I358&lt;&gt;""),O358/(F358*I358),""),"")</f>
        <v/>
      </c>
      <c r="Q358" s="15">
        <f>IFERROR(IF(AND(O358&lt;&gt;"",J358&lt;&gt;"",J358&lt;&gt;0),O358/J358,""),"")</f>
        <v/>
      </c>
      <c r="R358" s="16">
        <f>IFERROR(IF(AND(L358&lt;&gt;"",B358&lt;&gt;""),L358-B358,""),"")</f>
        <v/>
      </c>
      <c r="S358" s="8" t="n"/>
      <c r="T358" s="8" t="n"/>
      <c r="U358" s="17">
        <f>IF(O358&lt;&gt;"",357,"")</f>
        <v/>
      </c>
      <c r="V358" s="18">
        <f>IF(O358&lt;&gt;"",V357+O358,V357)</f>
        <v/>
      </c>
    </row>
    <row r="359">
      <c r="A359" s="19" t="n"/>
      <c r="B359" s="20" t="n"/>
      <c r="C359" s="19" t="n"/>
      <c r="D359" s="19" t="n"/>
      <c r="E359" s="19" t="n"/>
      <c r="F359" s="21" t="n"/>
      <c r="G359" s="21" t="n"/>
      <c r="H359" s="21" t="n"/>
      <c r="I359" s="22" t="n"/>
      <c r="J359" s="21">
        <f>IFERROR(IF(AND(F359&lt;&gt;"",G359&lt;&gt;"",I359&lt;&gt;""),ABS(F359-G359)*I359,""),"")</f>
        <v/>
      </c>
      <c r="K359" s="23">
        <f>IFERROR(IF(AND(F359&lt;&gt;"",G359&lt;&gt;"",H359&lt;&gt;""),ABS(H359-F359)/ABS(F359-G359),""),"")</f>
        <v/>
      </c>
      <c r="L359" s="20" t="n"/>
      <c r="M359" s="21" t="n"/>
      <c r="N359" s="21" t="n"/>
      <c r="O359" s="24">
        <f>IFERROR(IF(AND(M359&lt;&gt;"",F359&lt;&gt;"",I359&lt;&gt;""),IF(D359="Long",(M359-F359)*I359-IF(N359&lt;&gt;"",N359,0),IF(D359="Short",(F359-M359)*I359-IF(N359&lt;&gt;"",N359,0),"")),""),"")</f>
        <v/>
      </c>
      <c r="P359" s="25">
        <f>IFERROR(IF(AND(O359&lt;&gt;"",F359&lt;&gt;"",I359&lt;&gt;""),O359/(F359*I359),""),"")</f>
        <v/>
      </c>
      <c r="Q359" s="26">
        <f>IFERROR(IF(AND(O359&lt;&gt;"",J359&lt;&gt;"",J359&lt;&gt;0),O359/J359,""),"")</f>
        <v/>
      </c>
      <c r="R359" s="27">
        <f>IFERROR(IF(AND(L359&lt;&gt;"",B359&lt;&gt;""),L359-B359,""),"")</f>
        <v/>
      </c>
      <c r="S359" s="19" t="n"/>
      <c r="T359" s="19" t="n"/>
      <c r="U359" s="17">
        <f>IF(O359&lt;&gt;"",358,"")</f>
        <v/>
      </c>
      <c r="V359" s="18">
        <f>IF(O359&lt;&gt;"",V358+O359,V358)</f>
        <v/>
      </c>
    </row>
    <row r="360">
      <c r="A360" s="8" t="n"/>
      <c r="B360" s="9" t="n"/>
      <c r="C360" s="8" t="n"/>
      <c r="D360" s="8" t="n"/>
      <c r="E360" s="8" t="n"/>
      <c r="F360" s="10" t="n"/>
      <c r="G360" s="10" t="n"/>
      <c r="H360" s="10" t="n"/>
      <c r="I360" s="11" t="n"/>
      <c r="J360" s="10">
        <f>IFERROR(IF(AND(F360&lt;&gt;"",G360&lt;&gt;"",I360&lt;&gt;""),ABS(F360-G360)*I360,""),"")</f>
        <v/>
      </c>
      <c r="K360" s="12">
        <f>IFERROR(IF(AND(F360&lt;&gt;"",G360&lt;&gt;"",H360&lt;&gt;""),ABS(H360-F360)/ABS(F360-G360),""),"")</f>
        <v/>
      </c>
      <c r="L360" s="9" t="n"/>
      <c r="M360" s="10" t="n"/>
      <c r="N360" s="10" t="n"/>
      <c r="O360" s="13">
        <f>IFERROR(IF(AND(M360&lt;&gt;"",F360&lt;&gt;"",I360&lt;&gt;""),IF(D360="Long",(M360-F360)*I360-IF(N360&lt;&gt;"",N360,0),IF(D360="Short",(F360-M360)*I360-IF(N360&lt;&gt;"",N360,0),"")),""),"")</f>
        <v/>
      </c>
      <c r="P360" s="14">
        <f>IFERROR(IF(AND(O360&lt;&gt;"",F360&lt;&gt;"",I360&lt;&gt;""),O360/(F360*I360),""),"")</f>
        <v/>
      </c>
      <c r="Q360" s="15">
        <f>IFERROR(IF(AND(O360&lt;&gt;"",J360&lt;&gt;"",J360&lt;&gt;0),O360/J360,""),"")</f>
        <v/>
      </c>
      <c r="R360" s="16">
        <f>IFERROR(IF(AND(L360&lt;&gt;"",B360&lt;&gt;""),L360-B360,""),"")</f>
        <v/>
      </c>
      <c r="S360" s="8" t="n"/>
      <c r="T360" s="8" t="n"/>
      <c r="U360" s="17">
        <f>IF(O360&lt;&gt;"",359,"")</f>
        <v/>
      </c>
      <c r="V360" s="18">
        <f>IF(O360&lt;&gt;"",V359+O360,V359)</f>
        <v/>
      </c>
    </row>
    <row r="361">
      <c r="A361" s="19" t="n"/>
      <c r="B361" s="20" t="n"/>
      <c r="C361" s="19" t="n"/>
      <c r="D361" s="19" t="n"/>
      <c r="E361" s="19" t="n"/>
      <c r="F361" s="21" t="n"/>
      <c r="G361" s="21" t="n"/>
      <c r="H361" s="21" t="n"/>
      <c r="I361" s="22" t="n"/>
      <c r="J361" s="21">
        <f>IFERROR(IF(AND(F361&lt;&gt;"",G361&lt;&gt;"",I361&lt;&gt;""),ABS(F361-G361)*I361,""),"")</f>
        <v/>
      </c>
      <c r="K361" s="23">
        <f>IFERROR(IF(AND(F361&lt;&gt;"",G361&lt;&gt;"",H361&lt;&gt;""),ABS(H361-F361)/ABS(F361-G361),""),"")</f>
        <v/>
      </c>
      <c r="L361" s="20" t="n"/>
      <c r="M361" s="21" t="n"/>
      <c r="N361" s="21" t="n"/>
      <c r="O361" s="24">
        <f>IFERROR(IF(AND(M361&lt;&gt;"",F361&lt;&gt;"",I361&lt;&gt;""),IF(D361="Long",(M361-F361)*I361-IF(N361&lt;&gt;"",N361,0),IF(D361="Short",(F361-M361)*I361-IF(N361&lt;&gt;"",N361,0),"")),""),"")</f>
        <v/>
      </c>
      <c r="P361" s="25">
        <f>IFERROR(IF(AND(O361&lt;&gt;"",F361&lt;&gt;"",I361&lt;&gt;""),O361/(F361*I361),""),"")</f>
        <v/>
      </c>
      <c r="Q361" s="26">
        <f>IFERROR(IF(AND(O361&lt;&gt;"",J361&lt;&gt;"",J361&lt;&gt;0),O361/J361,""),"")</f>
        <v/>
      </c>
      <c r="R361" s="27">
        <f>IFERROR(IF(AND(L361&lt;&gt;"",B361&lt;&gt;""),L361-B361,""),"")</f>
        <v/>
      </c>
      <c r="S361" s="19" t="n"/>
      <c r="T361" s="19" t="n"/>
      <c r="U361" s="17">
        <f>IF(O361&lt;&gt;"",360,"")</f>
        <v/>
      </c>
      <c r="V361" s="18">
        <f>IF(O361&lt;&gt;"",V360+O361,V360)</f>
        <v/>
      </c>
    </row>
    <row r="362">
      <c r="A362" s="8" t="n"/>
      <c r="B362" s="9" t="n"/>
      <c r="C362" s="8" t="n"/>
      <c r="D362" s="8" t="n"/>
      <c r="E362" s="8" t="n"/>
      <c r="F362" s="10" t="n"/>
      <c r="G362" s="10" t="n"/>
      <c r="H362" s="10" t="n"/>
      <c r="I362" s="11" t="n"/>
      <c r="J362" s="10">
        <f>IFERROR(IF(AND(F362&lt;&gt;"",G362&lt;&gt;"",I362&lt;&gt;""),ABS(F362-G362)*I362,""),"")</f>
        <v/>
      </c>
      <c r="K362" s="12">
        <f>IFERROR(IF(AND(F362&lt;&gt;"",G362&lt;&gt;"",H362&lt;&gt;""),ABS(H362-F362)/ABS(F362-G362),""),"")</f>
        <v/>
      </c>
      <c r="L362" s="9" t="n"/>
      <c r="M362" s="10" t="n"/>
      <c r="N362" s="10" t="n"/>
      <c r="O362" s="13">
        <f>IFERROR(IF(AND(M362&lt;&gt;"",F362&lt;&gt;"",I362&lt;&gt;""),IF(D362="Long",(M362-F362)*I362-IF(N362&lt;&gt;"",N362,0),IF(D362="Short",(F362-M362)*I362-IF(N362&lt;&gt;"",N362,0),"")),""),"")</f>
        <v/>
      </c>
      <c r="P362" s="14">
        <f>IFERROR(IF(AND(O362&lt;&gt;"",F362&lt;&gt;"",I362&lt;&gt;""),O362/(F362*I362),""),"")</f>
        <v/>
      </c>
      <c r="Q362" s="15">
        <f>IFERROR(IF(AND(O362&lt;&gt;"",J362&lt;&gt;"",J362&lt;&gt;0),O362/J362,""),"")</f>
        <v/>
      </c>
      <c r="R362" s="16">
        <f>IFERROR(IF(AND(L362&lt;&gt;"",B362&lt;&gt;""),L362-B362,""),"")</f>
        <v/>
      </c>
      <c r="S362" s="8" t="n"/>
      <c r="T362" s="8" t="n"/>
      <c r="U362" s="17">
        <f>IF(O362&lt;&gt;"",361,"")</f>
        <v/>
      </c>
      <c r="V362" s="18">
        <f>IF(O362&lt;&gt;"",V361+O362,V361)</f>
        <v/>
      </c>
    </row>
    <row r="363">
      <c r="A363" s="19" t="n"/>
      <c r="B363" s="20" t="n"/>
      <c r="C363" s="19" t="n"/>
      <c r="D363" s="19" t="n"/>
      <c r="E363" s="19" t="n"/>
      <c r="F363" s="21" t="n"/>
      <c r="G363" s="21" t="n"/>
      <c r="H363" s="21" t="n"/>
      <c r="I363" s="22" t="n"/>
      <c r="J363" s="21">
        <f>IFERROR(IF(AND(F363&lt;&gt;"",G363&lt;&gt;"",I363&lt;&gt;""),ABS(F363-G363)*I363,""),"")</f>
        <v/>
      </c>
      <c r="K363" s="23">
        <f>IFERROR(IF(AND(F363&lt;&gt;"",G363&lt;&gt;"",H363&lt;&gt;""),ABS(H363-F363)/ABS(F363-G363),""),"")</f>
        <v/>
      </c>
      <c r="L363" s="20" t="n"/>
      <c r="M363" s="21" t="n"/>
      <c r="N363" s="21" t="n"/>
      <c r="O363" s="24">
        <f>IFERROR(IF(AND(M363&lt;&gt;"",F363&lt;&gt;"",I363&lt;&gt;""),IF(D363="Long",(M363-F363)*I363-IF(N363&lt;&gt;"",N363,0),IF(D363="Short",(F363-M363)*I363-IF(N363&lt;&gt;"",N363,0),"")),""),"")</f>
        <v/>
      </c>
      <c r="P363" s="25">
        <f>IFERROR(IF(AND(O363&lt;&gt;"",F363&lt;&gt;"",I363&lt;&gt;""),O363/(F363*I363),""),"")</f>
        <v/>
      </c>
      <c r="Q363" s="26">
        <f>IFERROR(IF(AND(O363&lt;&gt;"",J363&lt;&gt;"",J363&lt;&gt;0),O363/J363,""),"")</f>
        <v/>
      </c>
      <c r="R363" s="27">
        <f>IFERROR(IF(AND(L363&lt;&gt;"",B363&lt;&gt;""),L363-B363,""),"")</f>
        <v/>
      </c>
      <c r="S363" s="19" t="n"/>
      <c r="T363" s="19" t="n"/>
      <c r="U363" s="17">
        <f>IF(O363&lt;&gt;"",362,"")</f>
        <v/>
      </c>
      <c r="V363" s="18">
        <f>IF(O363&lt;&gt;"",V362+O363,V362)</f>
        <v/>
      </c>
    </row>
    <row r="364">
      <c r="A364" s="8" t="n"/>
      <c r="B364" s="9" t="n"/>
      <c r="C364" s="8" t="n"/>
      <c r="D364" s="8" t="n"/>
      <c r="E364" s="8" t="n"/>
      <c r="F364" s="10" t="n"/>
      <c r="G364" s="10" t="n"/>
      <c r="H364" s="10" t="n"/>
      <c r="I364" s="11" t="n"/>
      <c r="J364" s="10">
        <f>IFERROR(IF(AND(F364&lt;&gt;"",G364&lt;&gt;"",I364&lt;&gt;""),ABS(F364-G364)*I364,""),"")</f>
        <v/>
      </c>
      <c r="K364" s="12">
        <f>IFERROR(IF(AND(F364&lt;&gt;"",G364&lt;&gt;"",H364&lt;&gt;""),ABS(H364-F364)/ABS(F364-G364),""),"")</f>
        <v/>
      </c>
      <c r="L364" s="9" t="n"/>
      <c r="M364" s="10" t="n"/>
      <c r="N364" s="10" t="n"/>
      <c r="O364" s="13">
        <f>IFERROR(IF(AND(M364&lt;&gt;"",F364&lt;&gt;"",I364&lt;&gt;""),IF(D364="Long",(M364-F364)*I364-IF(N364&lt;&gt;"",N364,0),IF(D364="Short",(F364-M364)*I364-IF(N364&lt;&gt;"",N364,0),"")),""),"")</f>
        <v/>
      </c>
      <c r="P364" s="14">
        <f>IFERROR(IF(AND(O364&lt;&gt;"",F364&lt;&gt;"",I364&lt;&gt;""),O364/(F364*I364),""),"")</f>
        <v/>
      </c>
      <c r="Q364" s="15">
        <f>IFERROR(IF(AND(O364&lt;&gt;"",J364&lt;&gt;"",J364&lt;&gt;0),O364/J364,""),"")</f>
        <v/>
      </c>
      <c r="R364" s="16">
        <f>IFERROR(IF(AND(L364&lt;&gt;"",B364&lt;&gt;""),L364-B364,""),"")</f>
        <v/>
      </c>
      <c r="S364" s="8" t="n"/>
      <c r="T364" s="8" t="n"/>
      <c r="U364" s="17">
        <f>IF(O364&lt;&gt;"",363,"")</f>
        <v/>
      </c>
      <c r="V364" s="18">
        <f>IF(O364&lt;&gt;"",V363+O364,V363)</f>
        <v/>
      </c>
    </row>
    <row r="365">
      <c r="A365" s="19" t="n"/>
      <c r="B365" s="20" t="n"/>
      <c r="C365" s="19" t="n"/>
      <c r="D365" s="19" t="n"/>
      <c r="E365" s="19" t="n"/>
      <c r="F365" s="21" t="n"/>
      <c r="G365" s="21" t="n"/>
      <c r="H365" s="21" t="n"/>
      <c r="I365" s="22" t="n"/>
      <c r="J365" s="21">
        <f>IFERROR(IF(AND(F365&lt;&gt;"",G365&lt;&gt;"",I365&lt;&gt;""),ABS(F365-G365)*I365,""),"")</f>
        <v/>
      </c>
      <c r="K365" s="23">
        <f>IFERROR(IF(AND(F365&lt;&gt;"",G365&lt;&gt;"",H365&lt;&gt;""),ABS(H365-F365)/ABS(F365-G365),""),"")</f>
        <v/>
      </c>
      <c r="L365" s="20" t="n"/>
      <c r="M365" s="21" t="n"/>
      <c r="N365" s="21" t="n"/>
      <c r="O365" s="24">
        <f>IFERROR(IF(AND(M365&lt;&gt;"",F365&lt;&gt;"",I365&lt;&gt;""),IF(D365="Long",(M365-F365)*I365-IF(N365&lt;&gt;"",N365,0),IF(D365="Short",(F365-M365)*I365-IF(N365&lt;&gt;"",N365,0),"")),""),"")</f>
        <v/>
      </c>
      <c r="P365" s="25">
        <f>IFERROR(IF(AND(O365&lt;&gt;"",F365&lt;&gt;"",I365&lt;&gt;""),O365/(F365*I365),""),"")</f>
        <v/>
      </c>
      <c r="Q365" s="26">
        <f>IFERROR(IF(AND(O365&lt;&gt;"",J365&lt;&gt;"",J365&lt;&gt;0),O365/J365,""),"")</f>
        <v/>
      </c>
      <c r="R365" s="27">
        <f>IFERROR(IF(AND(L365&lt;&gt;"",B365&lt;&gt;""),L365-B365,""),"")</f>
        <v/>
      </c>
      <c r="S365" s="19" t="n"/>
      <c r="T365" s="19" t="n"/>
      <c r="U365" s="17">
        <f>IF(O365&lt;&gt;"",364,"")</f>
        <v/>
      </c>
      <c r="V365" s="18">
        <f>IF(O365&lt;&gt;"",V364+O365,V364)</f>
        <v/>
      </c>
    </row>
    <row r="366">
      <c r="A366" s="8" t="n"/>
      <c r="B366" s="9" t="n"/>
      <c r="C366" s="8" t="n"/>
      <c r="D366" s="8" t="n"/>
      <c r="E366" s="8" t="n"/>
      <c r="F366" s="10" t="n"/>
      <c r="G366" s="10" t="n"/>
      <c r="H366" s="10" t="n"/>
      <c r="I366" s="11" t="n"/>
      <c r="J366" s="10">
        <f>IFERROR(IF(AND(F366&lt;&gt;"",G366&lt;&gt;"",I366&lt;&gt;""),ABS(F366-G366)*I366,""),"")</f>
        <v/>
      </c>
      <c r="K366" s="12">
        <f>IFERROR(IF(AND(F366&lt;&gt;"",G366&lt;&gt;"",H366&lt;&gt;""),ABS(H366-F366)/ABS(F366-G366),""),"")</f>
        <v/>
      </c>
      <c r="L366" s="9" t="n"/>
      <c r="M366" s="10" t="n"/>
      <c r="N366" s="10" t="n"/>
      <c r="O366" s="13">
        <f>IFERROR(IF(AND(M366&lt;&gt;"",F366&lt;&gt;"",I366&lt;&gt;""),IF(D366="Long",(M366-F366)*I366-IF(N366&lt;&gt;"",N366,0),IF(D366="Short",(F366-M366)*I366-IF(N366&lt;&gt;"",N366,0),"")),""),"")</f>
        <v/>
      </c>
      <c r="P366" s="14">
        <f>IFERROR(IF(AND(O366&lt;&gt;"",F366&lt;&gt;"",I366&lt;&gt;""),O366/(F366*I366),""),"")</f>
        <v/>
      </c>
      <c r="Q366" s="15">
        <f>IFERROR(IF(AND(O366&lt;&gt;"",J366&lt;&gt;"",J366&lt;&gt;0),O366/J366,""),"")</f>
        <v/>
      </c>
      <c r="R366" s="16">
        <f>IFERROR(IF(AND(L366&lt;&gt;"",B366&lt;&gt;""),L366-B366,""),"")</f>
        <v/>
      </c>
      <c r="S366" s="8" t="n"/>
      <c r="T366" s="8" t="n"/>
      <c r="U366" s="17">
        <f>IF(O366&lt;&gt;"",365,"")</f>
        <v/>
      </c>
      <c r="V366" s="18">
        <f>IF(O366&lt;&gt;"",V365+O366,V365)</f>
        <v/>
      </c>
    </row>
    <row r="367">
      <c r="A367" s="19" t="n"/>
      <c r="B367" s="20" t="n"/>
      <c r="C367" s="19" t="n"/>
      <c r="D367" s="19" t="n"/>
      <c r="E367" s="19" t="n"/>
      <c r="F367" s="21" t="n"/>
      <c r="G367" s="21" t="n"/>
      <c r="H367" s="21" t="n"/>
      <c r="I367" s="22" t="n"/>
      <c r="J367" s="21">
        <f>IFERROR(IF(AND(F367&lt;&gt;"",G367&lt;&gt;"",I367&lt;&gt;""),ABS(F367-G367)*I367,""),"")</f>
        <v/>
      </c>
      <c r="K367" s="23">
        <f>IFERROR(IF(AND(F367&lt;&gt;"",G367&lt;&gt;"",H367&lt;&gt;""),ABS(H367-F367)/ABS(F367-G367),""),"")</f>
        <v/>
      </c>
      <c r="L367" s="20" t="n"/>
      <c r="M367" s="21" t="n"/>
      <c r="N367" s="21" t="n"/>
      <c r="O367" s="24">
        <f>IFERROR(IF(AND(M367&lt;&gt;"",F367&lt;&gt;"",I367&lt;&gt;""),IF(D367="Long",(M367-F367)*I367-IF(N367&lt;&gt;"",N367,0),IF(D367="Short",(F367-M367)*I367-IF(N367&lt;&gt;"",N367,0),"")),""),"")</f>
        <v/>
      </c>
      <c r="P367" s="25">
        <f>IFERROR(IF(AND(O367&lt;&gt;"",F367&lt;&gt;"",I367&lt;&gt;""),O367/(F367*I367),""),"")</f>
        <v/>
      </c>
      <c r="Q367" s="26">
        <f>IFERROR(IF(AND(O367&lt;&gt;"",J367&lt;&gt;"",J367&lt;&gt;0),O367/J367,""),"")</f>
        <v/>
      </c>
      <c r="R367" s="27">
        <f>IFERROR(IF(AND(L367&lt;&gt;"",B367&lt;&gt;""),L367-B367,""),"")</f>
        <v/>
      </c>
      <c r="S367" s="19" t="n"/>
      <c r="T367" s="19" t="n"/>
      <c r="U367" s="17">
        <f>IF(O367&lt;&gt;"",366,"")</f>
        <v/>
      </c>
      <c r="V367" s="18">
        <f>IF(O367&lt;&gt;"",V366+O367,V366)</f>
        <v/>
      </c>
    </row>
    <row r="368">
      <c r="A368" s="8" t="n"/>
      <c r="B368" s="9" t="n"/>
      <c r="C368" s="8" t="n"/>
      <c r="D368" s="8" t="n"/>
      <c r="E368" s="8" t="n"/>
      <c r="F368" s="10" t="n"/>
      <c r="G368" s="10" t="n"/>
      <c r="H368" s="10" t="n"/>
      <c r="I368" s="11" t="n"/>
      <c r="J368" s="10">
        <f>IFERROR(IF(AND(F368&lt;&gt;"",G368&lt;&gt;"",I368&lt;&gt;""),ABS(F368-G368)*I368,""),"")</f>
        <v/>
      </c>
      <c r="K368" s="12">
        <f>IFERROR(IF(AND(F368&lt;&gt;"",G368&lt;&gt;"",H368&lt;&gt;""),ABS(H368-F368)/ABS(F368-G368),""),"")</f>
        <v/>
      </c>
      <c r="L368" s="9" t="n"/>
      <c r="M368" s="10" t="n"/>
      <c r="N368" s="10" t="n"/>
      <c r="O368" s="13">
        <f>IFERROR(IF(AND(M368&lt;&gt;"",F368&lt;&gt;"",I368&lt;&gt;""),IF(D368="Long",(M368-F368)*I368-IF(N368&lt;&gt;"",N368,0),IF(D368="Short",(F368-M368)*I368-IF(N368&lt;&gt;"",N368,0),"")),""),"")</f>
        <v/>
      </c>
      <c r="P368" s="14">
        <f>IFERROR(IF(AND(O368&lt;&gt;"",F368&lt;&gt;"",I368&lt;&gt;""),O368/(F368*I368),""),"")</f>
        <v/>
      </c>
      <c r="Q368" s="15">
        <f>IFERROR(IF(AND(O368&lt;&gt;"",J368&lt;&gt;"",J368&lt;&gt;0),O368/J368,""),"")</f>
        <v/>
      </c>
      <c r="R368" s="16">
        <f>IFERROR(IF(AND(L368&lt;&gt;"",B368&lt;&gt;""),L368-B368,""),"")</f>
        <v/>
      </c>
      <c r="S368" s="8" t="n"/>
      <c r="T368" s="8" t="n"/>
      <c r="U368" s="17">
        <f>IF(O368&lt;&gt;"",367,"")</f>
        <v/>
      </c>
      <c r="V368" s="18">
        <f>IF(O368&lt;&gt;"",V367+O368,V367)</f>
        <v/>
      </c>
    </row>
    <row r="369">
      <c r="A369" s="19" t="n"/>
      <c r="B369" s="20" t="n"/>
      <c r="C369" s="19" t="n"/>
      <c r="D369" s="19" t="n"/>
      <c r="E369" s="19" t="n"/>
      <c r="F369" s="21" t="n"/>
      <c r="G369" s="21" t="n"/>
      <c r="H369" s="21" t="n"/>
      <c r="I369" s="22" t="n"/>
      <c r="J369" s="21">
        <f>IFERROR(IF(AND(F369&lt;&gt;"",G369&lt;&gt;"",I369&lt;&gt;""),ABS(F369-G369)*I369,""),"")</f>
        <v/>
      </c>
      <c r="K369" s="23">
        <f>IFERROR(IF(AND(F369&lt;&gt;"",G369&lt;&gt;"",H369&lt;&gt;""),ABS(H369-F369)/ABS(F369-G369),""),"")</f>
        <v/>
      </c>
      <c r="L369" s="20" t="n"/>
      <c r="M369" s="21" t="n"/>
      <c r="N369" s="21" t="n"/>
      <c r="O369" s="24">
        <f>IFERROR(IF(AND(M369&lt;&gt;"",F369&lt;&gt;"",I369&lt;&gt;""),IF(D369="Long",(M369-F369)*I369-IF(N369&lt;&gt;"",N369,0),IF(D369="Short",(F369-M369)*I369-IF(N369&lt;&gt;"",N369,0),"")),""),"")</f>
        <v/>
      </c>
      <c r="P369" s="25">
        <f>IFERROR(IF(AND(O369&lt;&gt;"",F369&lt;&gt;"",I369&lt;&gt;""),O369/(F369*I369),""),"")</f>
        <v/>
      </c>
      <c r="Q369" s="26">
        <f>IFERROR(IF(AND(O369&lt;&gt;"",J369&lt;&gt;"",J369&lt;&gt;0),O369/J369,""),"")</f>
        <v/>
      </c>
      <c r="R369" s="27">
        <f>IFERROR(IF(AND(L369&lt;&gt;"",B369&lt;&gt;""),L369-B369,""),"")</f>
        <v/>
      </c>
      <c r="S369" s="19" t="n"/>
      <c r="T369" s="19" t="n"/>
      <c r="U369" s="17">
        <f>IF(O369&lt;&gt;"",368,"")</f>
        <v/>
      </c>
      <c r="V369" s="18">
        <f>IF(O369&lt;&gt;"",V368+O369,V368)</f>
        <v/>
      </c>
    </row>
    <row r="370">
      <c r="A370" s="8" t="n"/>
      <c r="B370" s="9" t="n"/>
      <c r="C370" s="8" t="n"/>
      <c r="D370" s="8" t="n"/>
      <c r="E370" s="8" t="n"/>
      <c r="F370" s="10" t="n"/>
      <c r="G370" s="10" t="n"/>
      <c r="H370" s="10" t="n"/>
      <c r="I370" s="11" t="n"/>
      <c r="J370" s="10">
        <f>IFERROR(IF(AND(F370&lt;&gt;"",G370&lt;&gt;"",I370&lt;&gt;""),ABS(F370-G370)*I370,""),"")</f>
        <v/>
      </c>
      <c r="K370" s="12">
        <f>IFERROR(IF(AND(F370&lt;&gt;"",G370&lt;&gt;"",H370&lt;&gt;""),ABS(H370-F370)/ABS(F370-G370),""),"")</f>
        <v/>
      </c>
      <c r="L370" s="9" t="n"/>
      <c r="M370" s="10" t="n"/>
      <c r="N370" s="10" t="n"/>
      <c r="O370" s="13">
        <f>IFERROR(IF(AND(M370&lt;&gt;"",F370&lt;&gt;"",I370&lt;&gt;""),IF(D370="Long",(M370-F370)*I370-IF(N370&lt;&gt;"",N370,0),IF(D370="Short",(F370-M370)*I370-IF(N370&lt;&gt;"",N370,0),"")),""),"")</f>
        <v/>
      </c>
      <c r="P370" s="14">
        <f>IFERROR(IF(AND(O370&lt;&gt;"",F370&lt;&gt;"",I370&lt;&gt;""),O370/(F370*I370),""),"")</f>
        <v/>
      </c>
      <c r="Q370" s="15">
        <f>IFERROR(IF(AND(O370&lt;&gt;"",J370&lt;&gt;"",J370&lt;&gt;0),O370/J370,""),"")</f>
        <v/>
      </c>
      <c r="R370" s="16">
        <f>IFERROR(IF(AND(L370&lt;&gt;"",B370&lt;&gt;""),L370-B370,""),"")</f>
        <v/>
      </c>
      <c r="S370" s="8" t="n"/>
      <c r="T370" s="8" t="n"/>
      <c r="U370" s="17">
        <f>IF(O370&lt;&gt;"",369,"")</f>
        <v/>
      </c>
      <c r="V370" s="18">
        <f>IF(O370&lt;&gt;"",V369+O370,V369)</f>
        <v/>
      </c>
    </row>
    <row r="371">
      <c r="A371" s="19" t="n"/>
      <c r="B371" s="20" t="n"/>
      <c r="C371" s="19" t="n"/>
      <c r="D371" s="19" t="n"/>
      <c r="E371" s="19" t="n"/>
      <c r="F371" s="21" t="n"/>
      <c r="G371" s="21" t="n"/>
      <c r="H371" s="21" t="n"/>
      <c r="I371" s="22" t="n"/>
      <c r="J371" s="21">
        <f>IFERROR(IF(AND(F371&lt;&gt;"",G371&lt;&gt;"",I371&lt;&gt;""),ABS(F371-G371)*I371,""),"")</f>
        <v/>
      </c>
      <c r="K371" s="23">
        <f>IFERROR(IF(AND(F371&lt;&gt;"",G371&lt;&gt;"",H371&lt;&gt;""),ABS(H371-F371)/ABS(F371-G371),""),"")</f>
        <v/>
      </c>
      <c r="L371" s="20" t="n"/>
      <c r="M371" s="21" t="n"/>
      <c r="N371" s="21" t="n"/>
      <c r="O371" s="24">
        <f>IFERROR(IF(AND(M371&lt;&gt;"",F371&lt;&gt;"",I371&lt;&gt;""),IF(D371="Long",(M371-F371)*I371-IF(N371&lt;&gt;"",N371,0),IF(D371="Short",(F371-M371)*I371-IF(N371&lt;&gt;"",N371,0),"")),""),"")</f>
        <v/>
      </c>
      <c r="P371" s="25">
        <f>IFERROR(IF(AND(O371&lt;&gt;"",F371&lt;&gt;"",I371&lt;&gt;""),O371/(F371*I371),""),"")</f>
        <v/>
      </c>
      <c r="Q371" s="26">
        <f>IFERROR(IF(AND(O371&lt;&gt;"",J371&lt;&gt;"",J371&lt;&gt;0),O371/J371,""),"")</f>
        <v/>
      </c>
      <c r="R371" s="27">
        <f>IFERROR(IF(AND(L371&lt;&gt;"",B371&lt;&gt;""),L371-B371,""),"")</f>
        <v/>
      </c>
      <c r="S371" s="19" t="n"/>
      <c r="T371" s="19" t="n"/>
      <c r="U371" s="17">
        <f>IF(O371&lt;&gt;"",370,"")</f>
        <v/>
      </c>
      <c r="V371" s="18">
        <f>IF(O371&lt;&gt;"",V370+O371,V370)</f>
        <v/>
      </c>
    </row>
    <row r="372">
      <c r="A372" s="8" t="n"/>
      <c r="B372" s="9" t="n"/>
      <c r="C372" s="8" t="n"/>
      <c r="D372" s="8" t="n"/>
      <c r="E372" s="8" t="n"/>
      <c r="F372" s="10" t="n"/>
      <c r="G372" s="10" t="n"/>
      <c r="H372" s="10" t="n"/>
      <c r="I372" s="11" t="n"/>
      <c r="J372" s="10">
        <f>IFERROR(IF(AND(F372&lt;&gt;"",G372&lt;&gt;"",I372&lt;&gt;""),ABS(F372-G372)*I372,""),"")</f>
        <v/>
      </c>
      <c r="K372" s="12">
        <f>IFERROR(IF(AND(F372&lt;&gt;"",G372&lt;&gt;"",H372&lt;&gt;""),ABS(H372-F372)/ABS(F372-G372),""),"")</f>
        <v/>
      </c>
      <c r="L372" s="9" t="n"/>
      <c r="M372" s="10" t="n"/>
      <c r="N372" s="10" t="n"/>
      <c r="O372" s="13">
        <f>IFERROR(IF(AND(M372&lt;&gt;"",F372&lt;&gt;"",I372&lt;&gt;""),IF(D372="Long",(M372-F372)*I372-IF(N372&lt;&gt;"",N372,0),IF(D372="Short",(F372-M372)*I372-IF(N372&lt;&gt;"",N372,0),"")),""),"")</f>
        <v/>
      </c>
      <c r="P372" s="14">
        <f>IFERROR(IF(AND(O372&lt;&gt;"",F372&lt;&gt;"",I372&lt;&gt;""),O372/(F372*I372),""),"")</f>
        <v/>
      </c>
      <c r="Q372" s="15">
        <f>IFERROR(IF(AND(O372&lt;&gt;"",J372&lt;&gt;"",J372&lt;&gt;0),O372/J372,""),"")</f>
        <v/>
      </c>
      <c r="R372" s="16">
        <f>IFERROR(IF(AND(L372&lt;&gt;"",B372&lt;&gt;""),L372-B372,""),"")</f>
        <v/>
      </c>
      <c r="S372" s="8" t="n"/>
      <c r="T372" s="8" t="n"/>
      <c r="U372" s="17">
        <f>IF(O372&lt;&gt;"",371,"")</f>
        <v/>
      </c>
      <c r="V372" s="18">
        <f>IF(O372&lt;&gt;"",V371+O372,V371)</f>
        <v/>
      </c>
    </row>
    <row r="373">
      <c r="A373" s="19" t="n"/>
      <c r="B373" s="20" t="n"/>
      <c r="C373" s="19" t="n"/>
      <c r="D373" s="19" t="n"/>
      <c r="E373" s="19" t="n"/>
      <c r="F373" s="21" t="n"/>
      <c r="G373" s="21" t="n"/>
      <c r="H373" s="21" t="n"/>
      <c r="I373" s="22" t="n"/>
      <c r="J373" s="21">
        <f>IFERROR(IF(AND(F373&lt;&gt;"",G373&lt;&gt;"",I373&lt;&gt;""),ABS(F373-G373)*I373,""),"")</f>
        <v/>
      </c>
      <c r="K373" s="23">
        <f>IFERROR(IF(AND(F373&lt;&gt;"",G373&lt;&gt;"",H373&lt;&gt;""),ABS(H373-F373)/ABS(F373-G373),""),"")</f>
        <v/>
      </c>
      <c r="L373" s="20" t="n"/>
      <c r="M373" s="21" t="n"/>
      <c r="N373" s="21" t="n"/>
      <c r="O373" s="24">
        <f>IFERROR(IF(AND(M373&lt;&gt;"",F373&lt;&gt;"",I373&lt;&gt;""),IF(D373="Long",(M373-F373)*I373-IF(N373&lt;&gt;"",N373,0),IF(D373="Short",(F373-M373)*I373-IF(N373&lt;&gt;"",N373,0),"")),""),"")</f>
        <v/>
      </c>
      <c r="P373" s="25">
        <f>IFERROR(IF(AND(O373&lt;&gt;"",F373&lt;&gt;"",I373&lt;&gt;""),O373/(F373*I373),""),"")</f>
        <v/>
      </c>
      <c r="Q373" s="26">
        <f>IFERROR(IF(AND(O373&lt;&gt;"",J373&lt;&gt;"",J373&lt;&gt;0),O373/J373,""),"")</f>
        <v/>
      </c>
      <c r="R373" s="27">
        <f>IFERROR(IF(AND(L373&lt;&gt;"",B373&lt;&gt;""),L373-B373,""),"")</f>
        <v/>
      </c>
      <c r="S373" s="19" t="n"/>
      <c r="T373" s="19" t="n"/>
      <c r="U373" s="17">
        <f>IF(O373&lt;&gt;"",372,"")</f>
        <v/>
      </c>
      <c r="V373" s="18">
        <f>IF(O373&lt;&gt;"",V372+O373,V372)</f>
        <v/>
      </c>
    </row>
    <row r="374">
      <c r="A374" s="8" t="n"/>
      <c r="B374" s="9" t="n"/>
      <c r="C374" s="8" t="n"/>
      <c r="D374" s="8" t="n"/>
      <c r="E374" s="8" t="n"/>
      <c r="F374" s="10" t="n"/>
      <c r="G374" s="10" t="n"/>
      <c r="H374" s="10" t="n"/>
      <c r="I374" s="11" t="n"/>
      <c r="J374" s="10">
        <f>IFERROR(IF(AND(F374&lt;&gt;"",G374&lt;&gt;"",I374&lt;&gt;""),ABS(F374-G374)*I374,""),"")</f>
        <v/>
      </c>
      <c r="K374" s="12">
        <f>IFERROR(IF(AND(F374&lt;&gt;"",G374&lt;&gt;"",H374&lt;&gt;""),ABS(H374-F374)/ABS(F374-G374),""),"")</f>
        <v/>
      </c>
      <c r="L374" s="9" t="n"/>
      <c r="M374" s="10" t="n"/>
      <c r="N374" s="10" t="n"/>
      <c r="O374" s="13">
        <f>IFERROR(IF(AND(M374&lt;&gt;"",F374&lt;&gt;"",I374&lt;&gt;""),IF(D374="Long",(M374-F374)*I374-IF(N374&lt;&gt;"",N374,0),IF(D374="Short",(F374-M374)*I374-IF(N374&lt;&gt;"",N374,0),"")),""),"")</f>
        <v/>
      </c>
      <c r="P374" s="14">
        <f>IFERROR(IF(AND(O374&lt;&gt;"",F374&lt;&gt;"",I374&lt;&gt;""),O374/(F374*I374),""),"")</f>
        <v/>
      </c>
      <c r="Q374" s="15">
        <f>IFERROR(IF(AND(O374&lt;&gt;"",J374&lt;&gt;"",J374&lt;&gt;0),O374/J374,""),"")</f>
        <v/>
      </c>
      <c r="R374" s="16">
        <f>IFERROR(IF(AND(L374&lt;&gt;"",B374&lt;&gt;""),L374-B374,""),"")</f>
        <v/>
      </c>
      <c r="S374" s="8" t="n"/>
      <c r="T374" s="8" t="n"/>
      <c r="U374" s="17">
        <f>IF(O374&lt;&gt;"",373,"")</f>
        <v/>
      </c>
      <c r="V374" s="18">
        <f>IF(O374&lt;&gt;"",V373+O374,V373)</f>
        <v/>
      </c>
    </row>
    <row r="375">
      <c r="A375" s="19" t="n"/>
      <c r="B375" s="20" t="n"/>
      <c r="C375" s="19" t="n"/>
      <c r="D375" s="19" t="n"/>
      <c r="E375" s="19" t="n"/>
      <c r="F375" s="21" t="n"/>
      <c r="G375" s="21" t="n"/>
      <c r="H375" s="21" t="n"/>
      <c r="I375" s="22" t="n"/>
      <c r="J375" s="21">
        <f>IFERROR(IF(AND(F375&lt;&gt;"",G375&lt;&gt;"",I375&lt;&gt;""),ABS(F375-G375)*I375,""),"")</f>
        <v/>
      </c>
      <c r="K375" s="23">
        <f>IFERROR(IF(AND(F375&lt;&gt;"",G375&lt;&gt;"",H375&lt;&gt;""),ABS(H375-F375)/ABS(F375-G375),""),"")</f>
        <v/>
      </c>
      <c r="L375" s="20" t="n"/>
      <c r="M375" s="21" t="n"/>
      <c r="N375" s="21" t="n"/>
      <c r="O375" s="24">
        <f>IFERROR(IF(AND(M375&lt;&gt;"",F375&lt;&gt;"",I375&lt;&gt;""),IF(D375="Long",(M375-F375)*I375-IF(N375&lt;&gt;"",N375,0),IF(D375="Short",(F375-M375)*I375-IF(N375&lt;&gt;"",N375,0),"")),""),"")</f>
        <v/>
      </c>
      <c r="P375" s="25">
        <f>IFERROR(IF(AND(O375&lt;&gt;"",F375&lt;&gt;"",I375&lt;&gt;""),O375/(F375*I375),""),"")</f>
        <v/>
      </c>
      <c r="Q375" s="26">
        <f>IFERROR(IF(AND(O375&lt;&gt;"",J375&lt;&gt;"",J375&lt;&gt;0),O375/J375,""),"")</f>
        <v/>
      </c>
      <c r="R375" s="27">
        <f>IFERROR(IF(AND(L375&lt;&gt;"",B375&lt;&gt;""),L375-B375,""),"")</f>
        <v/>
      </c>
      <c r="S375" s="19" t="n"/>
      <c r="T375" s="19" t="n"/>
      <c r="U375" s="17">
        <f>IF(O375&lt;&gt;"",374,"")</f>
        <v/>
      </c>
      <c r="V375" s="18">
        <f>IF(O375&lt;&gt;"",V374+O375,V374)</f>
        <v/>
      </c>
    </row>
    <row r="376">
      <c r="A376" s="8" t="n"/>
      <c r="B376" s="9" t="n"/>
      <c r="C376" s="8" t="n"/>
      <c r="D376" s="8" t="n"/>
      <c r="E376" s="8" t="n"/>
      <c r="F376" s="10" t="n"/>
      <c r="G376" s="10" t="n"/>
      <c r="H376" s="10" t="n"/>
      <c r="I376" s="11" t="n"/>
      <c r="J376" s="10">
        <f>IFERROR(IF(AND(F376&lt;&gt;"",G376&lt;&gt;"",I376&lt;&gt;""),ABS(F376-G376)*I376,""),"")</f>
        <v/>
      </c>
      <c r="K376" s="12">
        <f>IFERROR(IF(AND(F376&lt;&gt;"",G376&lt;&gt;"",H376&lt;&gt;""),ABS(H376-F376)/ABS(F376-G376),""),"")</f>
        <v/>
      </c>
      <c r="L376" s="9" t="n"/>
      <c r="M376" s="10" t="n"/>
      <c r="N376" s="10" t="n"/>
      <c r="O376" s="13">
        <f>IFERROR(IF(AND(M376&lt;&gt;"",F376&lt;&gt;"",I376&lt;&gt;""),IF(D376="Long",(M376-F376)*I376-IF(N376&lt;&gt;"",N376,0),IF(D376="Short",(F376-M376)*I376-IF(N376&lt;&gt;"",N376,0),"")),""),"")</f>
        <v/>
      </c>
      <c r="P376" s="14">
        <f>IFERROR(IF(AND(O376&lt;&gt;"",F376&lt;&gt;"",I376&lt;&gt;""),O376/(F376*I376),""),"")</f>
        <v/>
      </c>
      <c r="Q376" s="15">
        <f>IFERROR(IF(AND(O376&lt;&gt;"",J376&lt;&gt;"",J376&lt;&gt;0),O376/J376,""),"")</f>
        <v/>
      </c>
      <c r="R376" s="16">
        <f>IFERROR(IF(AND(L376&lt;&gt;"",B376&lt;&gt;""),L376-B376,""),"")</f>
        <v/>
      </c>
      <c r="S376" s="8" t="n"/>
      <c r="T376" s="8" t="n"/>
      <c r="U376" s="17">
        <f>IF(O376&lt;&gt;"",375,"")</f>
        <v/>
      </c>
      <c r="V376" s="18">
        <f>IF(O376&lt;&gt;"",V375+O376,V375)</f>
        <v/>
      </c>
    </row>
    <row r="377">
      <c r="A377" s="19" t="n"/>
      <c r="B377" s="20" t="n"/>
      <c r="C377" s="19" t="n"/>
      <c r="D377" s="19" t="n"/>
      <c r="E377" s="19" t="n"/>
      <c r="F377" s="21" t="n"/>
      <c r="G377" s="21" t="n"/>
      <c r="H377" s="21" t="n"/>
      <c r="I377" s="22" t="n"/>
      <c r="J377" s="21">
        <f>IFERROR(IF(AND(F377&lt;&gt;"",G377&lt;&gt;"",I377&lt;&gt;""),ABS(F377-G377)*I377,""),"")</f>
        <v/>
      </c>
      <c r="K377" s="23">
        <f>IFERROR(IF(AND(F377&lt;&gt;"",G377&lt;&gt;"",H377&lt;&gt;""),ABS(H377-F377)/ABS(F377-G377),""),"")</f>
        <v/>
      </c>
      <c r="L377" s="20" t="n"/>
      <c r="M377" s="21" t="n"/>
      <c r="N377" s="21" t="n"/>
      <c r="O377" s="24">
        <f>IFERROR(IF(AND(M377&lt;&gt;"",F377&lt;&gt;"",I377&lt;&gt;""),IF(D377="Long",(M377-F377)*I377-IF(N377&lt;&gt;"",N377,0),IF(D377="Short",(F377-M377)*I377-IF(N377&lt;&gt;"",N377,0),"")),""),"")</f>
        <v/>
      </c>
      <c r="P377" s="25">
        <f>IFERROR(IF(AND(O377&lt;&gt;"",F377&lt;&gt;"",I377&lt;&gt;""),O377/(F377*I377),""),"")</f>
        <v/>
      </c>
      <c r="Q377" s="26">
        <f>IFERROR(IF(AND(O377&lt;&gt;"",J377&lt;&gt;"",J377&lt;&gt;0),O377/J377,""),"")</f>
        <v/>
      </c>
      <c r="R377" s="27">
        <f>IFERROR(IF(AND(L377&lt;&gt;"",B377&lt;&gt;""),L377-B377,""),"")</f>
        <v/>
      </c>
      <c r="S377" s="19" t="n"/>
      <c r="T377" s="19" t="n"/>
      <c r="U377" s="17">
        <f>IF(O377&lt;&gt;"",376,"")</f>
        <v/>
      </c>
      <c r="V377" s="18">
        <f>IF(O377&lt;&gt;"",V376+O377,V376)</f>
        <v/>
      </c>
    </row>
    <row r="378">
      <c r="A378" s="8" t="n"/>
      <c r="B378" s="9" t="n"/>
      <c r="C378" s="8" t="n"/>
      <c r="D378" s="8" t="n"/>
      <c r="E378" s="8" t="n"/>
      <c r="F378" s="10" t="n"/>
      <c r="G378" s="10" t="n"/>
      <c r="H378" s="10" t="n"/>
      <c r="I378" s="11" t="n"/>
      <c r="J378" s="10">
        <f>IFERROR(IF(AND(F378&lt;&gt;"",G378&lt;&gt;"",I378&lt;&gt;""),ABS(F378-G378)*I378,""),"")</f>
        <v/>
      </c>
      <c r="K378" s="12">
        <f>IFERROR(IF(AND(F378&lt;&gt;"",G378&lt;&gt;"",H378&lt;&gt;""),ABS(H378-F378)/ABS(F378-G378),""),"")</f>
        <v/>
      </c>
      <c r="L378" s="9" t="n"/>
      <c r="M378" s="10" t="n"/>
      <c r="N378" s="10" t="n"/>
      <c r="O378" s="13">
        <f>IFERROR(IF(AND(M378&lt;&gt;"",F378&lt;&gt;"",I378&lt;&gt;""),IF(D378="Long",(M378-F378)*I378-IF(N378&lt;&gt;"",N378,0),IF(D378="Short",(F378-M378)*I378-IF(N378&lt;&gt;"",N378,0),"")),""),"")</f>
        <v/>
      </c>
      <c r="P378" s="14">
        <f>IFERROR(IF(AND(O378&lt;&gt;"",F378&lt;&gt;"",I378&lt;&gt;""),O378/(F378*I378),""),"")</f>
        <v/>
      </c>
      <c r="Q378" s="15">
        <f>IFERROR(IF(AND(O378&lt;&gt;"",J378&lt;&gt;"",J378&lt;&gt;0),O378/J378,""),"")</f>
        <v/>
      </c>
      <c r="R378" s="16">
        <f>IFERROR(IF(AND(L378&lt;&gt;"",B378&lt;&gt;""),L378-B378,""),"")</f>
        <v/>
      </c>
      <c r="S378" s="8" t="n"/>
      <c r="T378" s="8" t="n"/>
      <c r="U378" s="17">
        <f>IF(O378&lt;&gt;"",377,"")</f>
        <v/>
      </c>
      <c r="V378" s="18">
        <f>IF(O378&lt;&gt;"",V377+O378,V377)</f>
        <v/>
      </c>
    </row>
    <row r="379">
      <c r="A379" s="19" t="n"/>
      <c r="B379" s="20" t="n"/>
      <c r="C379" s="19" t="n"/>
      <c r="D379" s="19" t="n"/>
      <c r="E379" s="19" t="n"/>
      <c r="F379" s="21" t="n"/>
      <c r="G379" s="21" t="n"/>
      <c r="H379" s="21" t="n"/>
      <c r="I379" s="22" t="n"/>
      <c r="J379" s="21">
        <f>IFERROR(IF(AND(F379&lt;&gt;"",G379&lt;&gt;"",I379&lt;&gt;""),ABS(F379-G379)*I379,""),"")</f>
        <v/>
      </c>
      <c r="K379" s="23">
        <f>IFERROR(IF(AND(F379&lt;&gt;"",G379&lt;&gt;"",H379&lt;&gt;""),ABS(H379-F379)/ABS(F379-G379),""),"")</f>
        <v/>
      </c>
      <c r="L379" s="20" t="n"/>
      <c r="M379" s="21" t="n"/>
      <c r="N379" s="21" t="n"/>
      <c r="O379" s="24">
        <f>IFERROR(IF(AND(M379&lt;&gt;"",F379&lt;&gt;"",I379&lt;&gt;""),IF(D379="Long",(M379-F379)*I379-IF(N379&lt;&gt;"",N379,0),IF(D379="Short",(F379-M379)*I379-IF(N379&lt;&gt;"",N379,0),"")),""),"")</f>
        <v/>
      </c>
      <c r="P379" s="25">
        <f>IFERROR(IF(AND(O379&lt;&gt;"",F379&lt;&gt;"",I379&lt;&gt;""),O379/(F379*I379),""),"")</f>
        <v/>
      </c>
      <c r="Q379" s="26">
        <f>IFERROR(IF(AND(O379&lt;&gt;"",J379&lt;&gt;"",J379&lt;&gt;0),O379/J379,""),"")</f>
        <v/>
      </c>
      <c r="R379" s="27">
        <f>IFERROR(IF(AND(L379&lt;&gt;"",B379&lt;&gt;""),L379-B379,""),"")</f>
        <v/>
      </c>
      <c r="S379" s="19" t="n"/>
      <c r="T379" s="19" t="n"/>
      <c r="U379" s="17">
        <f>IF(O379&lt;&gt;"",378,"")</f>
        <v/>
      </c>
      <c r="V379" s="18">
        <f>IF(O379&lt;&gt;"",V378+O379,V378)</f>
        <v/>
      </c>
    </row>
    <row r="380">
      <c r="A380" s="8" t="n"/>
      <c r="B380" s="9" t="n"/>
      <c r="C380" s="8" t="n"/>
      <c r="D380" s="8" t="n"/>
      <c r="E380" s="8" t="n"/>
      <c r="F380" s="10" t="n"/>
      <c r="G380" s="10" t="n"/>
      <c r="H380" s="10" t="n"/>
      <c r="I380" s="11" t="n"/>
      <c r="J380" s="10">
        <f>IFERROR(IF(AND(F380&lt;&gt;"",G380&lt;&gt;"",I380&lt;&gt;""),ABS(F380-G380)*I380,""),"")</f>
        <v/>
      </c>
      <c r="K380" s="12">
        <f>IFERROR(IF(AND(F380&lt;&gt;"",G380&lt;&gt;"",H380&lt;&gt;""),ABS(H380-F380)/ABS(F380-G380),""),"")</f>
        <v/>
      </c>
      <c r="L380" s="9" t="n"/>
      <c r="M380" s="10" t="n"/>
      <c r="N380" s="10" t="n"/>
      <c r="O380" s="13">
        <f>IFERROR(IF(AND(M380&lt;&gt;"",F380&lt;&gt;"",I380&lt;&gt;""),IF(D380="Long",(M380-F380)*I380-IF(N380&lt;&gt;"",N380,0),IF(D380="Short",(F380-M380)*I380-IF(N380&lt;&gt;"",N380,0),"")),""),"")</f>
        <v/>
      </c>
      <c r="P380" s="14">
        <f>IFERROR(IF(AND(O380&lt;&gt;"",F380&lt;&gt;"",I380&lt;&gt;""),O380/(F380*I380),""),"")</f>
        <v/>
      </c>
      <c r="Q380" s="15">
        <f>IFERROR(IF(AND(O380&lt;&gt;"",J380&lt;&gt;"",J380&lt;&gt;0),O380/J380,""),"")</f>
        <v/>
      </c>
      <c r="R380" s="16">
        <f>IFERROR(IF(AND(L380&lt;&gt;"",B380&lt;&gt;""),L380-B380,""),"")</f>
        <v/>
      </c>
      <c r="S380" s="8" t="n"/>
      <c r="T380" s="8" t="n"/>
      <c r="U380" s="17">
        <f>IF(O380&lt;&gt;"",379,"")</f>
        <v/>
      </c>
      <c r="V380" s="18">
        <f>IF(O380&lt;&gt;"",V379+O380,V379)</f>
        <v/>
      </c>
    </row>
    <row r="381">
      <c r="A381" s="19" t="n"/>
      <c r="B381" s="20" t="n"/>
      <c r="C381" s="19" t="n"/>
      <c r="D381" s="19" t="n"/>
      <c r="E381" s="19" t="n"/>
      <c r="F381" s="21" t="n"/>
      <c r="G381" s="21" t="n"/>
      <c r="H381" s="21" t="n"/>
      <c r="I381" s="22" t="n"/>
      <c r="J381" s="21">
        <f>IFERROR(IF(AND(F381&lt;&gt;"",G381&lt;&gt;"",I381&lt;&gt;""),ABS(F381-G381)*I381,""),"")</f>
        <v/>
      </c>
      <c r="K381" s="23">
        <f>IFERROR(IF(AND(F381&lt;&gt;"",G381&lt;&gt;"",H381&lt;&gt;""),ABS(H381-F381)/ABS(F381-G381),""),"")</f>
        <v/>
      </c>
      <c r="L381" s="20" t="n"/>
      <c r="M381" s="21" t="n"/>
      <c r="N381" s="21" t="n"/>
      <c r="O381" s="24">
        <f>IFERROR(IF(AND(M381&lt;&gt;"",F381&lt;&gt;"",I381&lt;&gt;""),IF(D381="Long",(M381-F381)*I381-IF(N381&lt;&gt;"",N381,0),IF(D381="Short",(F381-M381)*I381-IF(N381&lt;&gt;"",N381,0),"")),""),"")</f>
        <v/>
      </c>
      <c r="P381" s="25">
        <f>IFERROR(IF(AND(O381&lt;&gt;"",F381&lt;&gt;"",I381&lt;&gt;""),O381/(F381*I381),""),"")</f>
        <v/>
      </c>
      <c r="Q381" s="26">
        <f>IFERROR(IF(AND(O381&lt;&gt;"",J381&lt;&gt;"",J381&lt;&gt;0),O381/J381,""),"")</f>
        <v/>
      </c>
      <c r="R381" s="27">
        <f>IFERROR(IF(AND(L381&lt;&gt;"",B381&lt;&gt;""),L381-B381,""),"")</f>
        <v/>
      </c>
      <c r="S381" s="19" t="n"/>
      <c r="T381" s="19" t="n"/>
      <c r="U381" s="17">
        <f>IF(O381&lt;&gt;"",380,"")</f>
        <v/>
      </c>
      <c r="V381" s="18">
        <f>IF(O381&lt;&gt;"",V380+O381,V380)</f>
        <v/>
      </c>
    </row>
    <row r="382">
      <c r="A382" s="8" t="n"/>
      <c r="B382" s="9" t="n"/>
      <c r="C382" s="8" t="n"/>
      <c r="D382" s="8" t="n"/>
      <c r="E382" s="8" t="n"/>
      <c r="F382" s="10" t="n"/>
      <c r="G382" s="10" t="n"/>
      <c r="H382" s="10" t="n"/>
      <c r="I382" s="11" t="n"/>
      <c r="J382" s="10">
        <f>IFERROR(IF(AND(F382&lt;&gt;"",G382&lt;&gt;"",I382&lt;&gt;""),ABS(F382-G382)*I382,""),"")</f>
        <v/>
      </c>
      <c r="K382" s="12">
        <f>IFERROR(IF(AND(F382&lt;&gt;"",G382&lt;&gt;"",H382&lt;&gt;""),ABS(H382-F382)/ABS(F382-G382),""),"")</f>
        <v/>
      </c>
      <c r="L382" s="9" t="n"/>
      <c r="M382" s="10" t="n"/>
      <c r="N382" s="10" t="n"/>
      <c r="O382" s="13">
        <f>IFERROR(IF(AND(M382&lt;&gt;"",F382&lt;&gt;"",I382&lt;&gt;""),IF(D382="Long",(M382-F382)*I382-IF(N382&lt;&gt;"",N382,0),IF(D382="Short",(F382-M382)*I382-IF(N382&lt;&gt;"",N382,0),"")),""),"")</f>
        <v/>
      </c>
      <c r="P382" s="14">
        <f>IFERROR(IF(AND(O382&lt;&gt;"",F382&lt;&gt;"",I382&lt;&gt;""),O382/(F382*I382),""),"")</f>
        <v/>
      </c>
      <c r="Q382" s="15">
        <f>IFERROR(IF(AND(O382&lt;&gt;"",J382&lt;&gt;"",J382&lt;&gt;0),O382/J382,""),"")</f>
        <v/>
      </c>
      <c r="R382" s="16">
        <f>IFERROR(IF(AND(L382&lt;&gt;"",B382&lt;&gt;""),L382-B382,""),"")</f>
        <v/>
      </c>
      <c r="S382" s="8" t="n"/>
      <c r="T382" s="8" t="n"/>
      <c r="U382" s="17">
        <f>IF(O382&lt;&gt;"",381,"")</f>
        <v/>
      </c>
      <c r="V382" s="18">
        <f>IF(O382&lt;&gt;"",V381+O382,V381)</f>
        <v/>
      </c>
    </row>
    <row r="383">
      <c r="A383" s="19" t="n"/>
      <c r="B383" s="20" t="n"/>
      <c r="C383" s="19" t="n"/>
      <c r="D383" s="19" t="n"/>
      <c r="E383" s="19" t="n"/>
      <c r="F383" s="21" t="n"/>
      <c r="G383" s="21" t="n"/>
      <c r="H383" s="21" t="n"/>
      <c r="I383" s="22" t="n"/>
      <c r="J383" s="21">
        <f>IFERROR(IF(AND(F383&lt;&gt;"",G383&lt;&gt;"",I383&lt;&gt;""),ABS(F383-G383)*I383,""),"")</f>
        <v/>
      </c>
      <c r="K383" s="23">
        <f>IFERROR(IF(AND(F383&lt;&gt;"",G383&lt;&gt;"",H383&lt;&gt;""),ABS(H383-F383)/ABS(F383-G383),""),"")</f>
        <v/>
      </c>
      <c r="L383" s="20" t="n"/>
      <c r="M383" s="21" t="n"/>
      <c r="N383" s="21" t="n"/>
      <c r="O383" s="24">
        <f>IFERROR(IF(AND(M383&lt;&gt;"",F383&lt;&gt;"",I383&lt;&gt;""),IF(D383="Long",(M383-F383)*I383-IF(N383&lt;&gt;"",N383,0),IF(D383="Short",(F383-M383)*I383-IF(N383&lt;&gt;"",N383,0),"")),""),"")</f>
        <v/>
      </c>
      <c r="P383" s="25">
        <f>IFERROR(IF(AND(O383&lt;&gt;"",F383&lt;&gt;"",I383&lt;&gt;""),O383/(F383*I383),""),"")</f>
        <v/>
      </c>
      <c r="Q383" s="26">
        <f>IFERROR(IF(AND(O383&lt;&gt;"",J383&lt;&gt;"",J383&lt;&gt;0),O383/J383,""),"")</f>
        <v/>
      </c>
      <c r="R383" s="27">
        <f>IFERROR(IF(AND(L383&lt;&gt;"",B383&lt;&gt;""),L383-B383,""),"")</f>
        <v/>
      </c>
      <c r="S383" s="19" t="n"/>
      <c r="T383" s="19" t="n"/>
      <c r="U383" s="17">
        <f>IF(O383&lt;&gt;"",382,"")</f>
        <v/>
      </c>
      <c r="V383" s="18">
        <f>IF(O383&lt;&gt;"",V382+O383,V382)</f>
        <v/>
      </c>
    </row>
    <row r="384">
      <c r="A384" s="8" t="n"/>
      <c r="B384" s="9" t="n"/>
      <c r="C384" s="8" t="n"/>
      <c r="D384" s="8" t="n"/>
      <c r="E384" s="8" t="n"/>
      <c r="F384" s="10" t="n"/>
      <c r="G384" s="10" t="n"/>
      <c r="H384" s="10" t="n"/>
      <c r="I384" s="11" t="n"/>
      <c r="J384" s="10">
        <f>IFERROR(IF(AND(F384&lt;&gt;"",G384&lt;&gt;"",I384&lt;&gt;""),ABS(F384-G384)*I384,""),"")</f>
        <v/>
      </c>
      <c r="K384" s="12">
        <f>IFERROR(IF(AND(F384&lt;&gt;"",G384&lt;&gt;"",H384&lt;&gt;""),ABS(H384-F384)/ABS(F384-G384),""),"")</f>
        <v/>
      </c>
      <c r="L384" s="9" t="n"/>
      <c r="M384" s="10" t="n"/>
      <c r="N384" s="10" t="n"/>
      <c r="O384" s="13">
        <f>IFERROR(IF(AND(M384&lt;&gt;"",F384&lt;&gt;"",I384&lt;&gt;""),IF(D384="Long",(M384-F384)*I384-IF(N384&lt;&gt;"",N384,0),IF(D384="Short",(F384-M384)*I384-IF(N384&lt;&gt;"",N384,0),"")),""),"")</f>
        <v/>
      </c>
      <c r="P384" s="14">
        <f>IFERROR(IF(AND(O384&lt;&gt;"",F384&lt;&gt;"",I384&lt;&gt;""),O384/(F384*I384),""),"")</f>
        <v/>
      </c>
      <c r="Q384" s="15">
        <f>IFERROR(IF(AND(O384&lt;&gt;"",J384&lt;&gt;"",J384&lt;&gt;0),O384/J384,""),"")</f>
        <v/>
      </c>
      <c r="R384" s="16">
        <f>IFERROR(IF(AND(L384&lt;&gt;"",B384&lt;&gt;""),L384-B384,""),"")</f>
        <v/>
      </c>
      <c r="S384" s="8" t="n"/>
      <c r="T384" s="8" t="n"/>
      <c r="U384" s="17">
        <f>IF(O384&lt;&gt;"",383,"")</f>
        <v/>
      </c>
      <c r="V384" s="18">
        <f>IF(O384&lt;&gt;"",V383+O384,V383)</f>
        <v/>
      </c>
    </row>
    <row r="385">
      <c r="A385" s="19" t="n"/>
      <c r="B385" s="20" t="n"/>
      <c r="C385" s="19" t="n"/>
      <c r="D385" s="19" t="n"/>
      <c r="E385" s="19" t="n"/>
      <c r="F385" s="21" t="n"/>
      <c r="G385" s="21" t="n"/>
      <c r="H385" s="21" t="n"/>
      <c r="I385" s="22" t="n"/>
      <c r="J385" s="21">
        <f>IFERROR(IF(AND(F385&lt;&gt;"",G385&lt;&gt;"",I385&lt;&gt;""),ABS(F385-G385)*I385,""),"")</f>
        <v/>
      </c>
      <c r="K385" s="23">
        <f>IFERROR(IF(AND(F385&lt;&gt;"",G385&lt;&gt;"",H385&lt;&gt;""),ABS(H385-F385)/ABS(F385-G385),""),"")</f>
        <v/>
      </c>
      <c r="L385" s="20" t="n"/>
      <c r="M385" s="21" t="n"/>
      <c r="N385" s="21" t="n"/>
      <c r="O385" s="24">
        <f>IFERROR(IF(AND(M385&lt;&gt;"",F385&lt;&gt;"",I385&lt;&gt;""),IF(D385="Long",(M385-F385)*I385-IF(N385&lt;&gt;"",N385,0),IF(D385="Short",(F385-M385)*I385-IF(N385&lt;&gt;"",N385,0),"")),""),"")</f>
        <v/>
      </c>
      <c r="P385" s="25">
        <f>IFERROR(IF(AND(O385&lt;&gt;"",F385&lt;&gt;"",I385&lt;&gt;""),O385/(F385*I385),""),"")</f>
        <v/>
      </c>
      <c r="Q385" s="26">
        <f>IFERROR(IF(AND(O385&lt;&gt;"",J385&lt;&gt;"",J385&lt;&gt;0),O385/J385,""),"")</f>
        <v/>
      </c>
      <c r="R385" s="27">
        <f>IFERROR(IF(AND(L385&lt;&gt;"",B385&lt;&gt;""),L385-B385,""),"")</f>
        <v/>
      </c>
      <c r="S385" s="19" t="n"/>
      <c r="T385" s="19" t="n"/>
      <c r="U385" s="17">
        <f>IF(O385&lt;&gt;"",384,"")</f>
        <v/>
      </c>
      <c r="V385" s="18">
        <f>IF(O385&lt;&gt;"",V384+O385,V384)</f>
        <v/>
      </c>
    </row>
    <row r="386">
      <c r="A386" s="8" t="n"/>
      <c r="B386" s="9" t="n"/>
      <c r="C386" s="8" t="n"/>
      <c r="D386" s="8" t="n"/>
      <c r="E386" s="8" t="n"/>
      <c r="F386" s="10" t="n"/>
      <c r="G386" s="10" t="n"/>
      <c r="H386" s="10" t="n"/>
      <c r="I386" s="11" t="n"/>
      <c r="J386" s="10">
        <f>IFERROR(IF(AND(F386&lt;&gt;"",G386&lt;&gt;"",I386&lt;&gt;""),ABS(F386-G386)*I386,""),"")</f>
        <v/>
      </c>
      <c r="K386" s="12">
        <f>IFERROR(IF(AND(F386&lt;&gt;"",G386&lt;&gt;"",H386&lt;&gt;""),ABS(H386-F386)/ABS(F386-G386),""),"")</f>
        <v/>
      </c>
      <c r="L386" s="9" t="n"/>
      <c r="M386" s="10" t="n"/>
      <c r="N386" s="10" t="n"/>
      <c r="O386" s="13">
        <f>IFERROR(IF(AND(M386&lt;&gt;"",F386&lt;&gt;"",I386&lt;&gt;""),IF(D386="Long",(M386-F386)*I386-IF(N386&lt;&gt;"",N386,0),IF(D386="Short",(F386-M386)*I386-IF(N386&lt;&gt;"",N386,0),"")),""),"")</f>
        <v/>
      </c>
      <c r="P386" s="14">
        <f>IFERROR(IF(AND(O386&lt;&gt;"",F386&lt;&gt;"",I386&lt;&gt;""),O386/(F386*I386),""),"")</f>
        <v/>
      </c>
      <c r="Q386" s="15">
        <f>IFERROR(IF(AND(O386&lt;&gt;"",J386&lt;&gt;"",J386&lt;&gt;0),O386/J386,""),"")</f>
        <v/>
      </c>
      <c r="R386" s="16">
        <f>IFERROR(IF(AND(L386&lt;&gt;"",B386&lt;&gt;""),L386-B386,""),"")</f>
        <v/>
      </c>
      <c r="S386" s="8" t="n"/>
      <c r="T386" s="8" t="n"/>
      <c r="U386" s="17">
        <f>IF(O386&lt;&gt;"",385,"")</f>
        <v/>
      </c>
      <c r="V386" s="18">
        <f>IF(O386&lt;&gt;"",V385+O386,V385)</f>
        <v/>
      </c>
    </row>
    <row r="387">
      <c r="A387" s="19" t="n"/>
      <c r="B387" s="20" t="n"/>
      <c r="C387" s="19" t="n"/>
      <c r="D387" s="19" t="n"/>
      <c r="E387" s="19" t="n"/>
      <c r="F387" s="21" t="n"/>
      <c r="G387" s="21" t="n"/>
      <c r="H387" s="21" t="n"/>
      <c r="I387" s="22" t="n"/>
      <c r="J387" s="21">
        <f>IFERROR(IF(AND(F387&lt;&gt;"",G387&lt;&gt;"",I387&lt;&gt;""),ABS(F387-G387)*I387,""),"")</f>
        <v/>
      </c>
      <c r="K387" s="23">
        <f>IFERROR(IF(AND(F387&lt;&gt;"",G387&lt;&gt;"",H387&lt;&gt;""),ABS(H387-F387)/ABS(F387-G387),""),"")</f>
        <v/>
      </c>
      <c r="L387" s="20" t="n"/>
      <c r="M387" s="21" t="n"/>
      <c r="N387" s="21" t="n"/>
      <c r="O387" s="24">
        <f>IFERROR(IF(AND(M387&lt;&gt;"",F387&lt;&gt;"",I387&lt;&gt;""),IF(D387="Long",(M387-F387)*I387-IF(N387&lt;&gt;"",N387,0),IF(D387="Short",(F387-M387)*I387-IF(N387&lt;&gt;"",N387,0),"")),""),"")</f>
        <v/>
      </c>
      <c r="P387" s="25">
        <f>IFERROR(IF(AND(O387&lt;&gt;"",F387&lt;&gt;"",I387&lt;&gt;""),O387/(F387*I387),""),"")</f>
        <v/>
      </c>
      <c r="Q387" s="26">
        <f>IFERROR(IF(AND(O387&lt;&gt;"",J387&lt;&gt;"",J387&lt;&gt;0),O387/J387,""),"")</f>
        <v/>
      </c>
      <c r="R387" s="27">
        <f>IFERROR(IF(AND(L387&lt;&gt;"",B387&lt;&gt;""),L387-B387,""),"")</f>
        <v/>
      </c>
      <c r="S387" s="19" t="n"/>
      <c r="T387" s="19" t="n"/>
      <c r="U387" s="17">
        <f>IF(O387&lt;&gt;"",386,"")</f>
        <v/>
      </c>
      <c r="V387" s="18">
        <f>IF(O387&lt;&gt;"",V386+O387,V386)</f>
        <v/>
      </c>
    </row>
    <row r="388">
      <c r="A388" s="8" t="n"/>
      <c r="B388" s="9" t="n"/>
      <c r="C388" s="8" t="n"/>
      <c r="D388" s="8" t="n"/>
      <c r="E388" s="8" t="n"/>
      <c r="F388" s="10" t="n"/>
      <c r="G388" s="10" t="n"/>
      <c r="H388" s="10" t="n"/>
      <c r="I388" s="11" t="n"/>
      <c r="J388" s="10">
        <f>IFERROR(IF(AND(F388&lt;&gt;"",G388&lt;&gt;"",I388&lt;&gt;""),ABS(F388-G388)*I388,""),"")</f>
        <v/>
      </c>
      <c r="K388" s="12">
        <f>IFERROR(IF(AND(F388&lt;&gt;"",G388&lt;&gt;"",H388&lt;&gt;""),ABS(H388-F388)/ABS(F388-G388),""),"")</f>
        <v/>
      </c>
      <c r="L388" s="9" t="n"/>
      <c r="M388" s="10" t="n"/>
      <c r="N388" s="10" t="n"/>
      <c r="O388" s="13">
        <f>IFERROR(IF(AND(M388&lt;&gt;"",F388&lt;&gt;"",I388&lt;&gt;""),IF(D388="Long",(M388-F388)*I388-IF(N388&lt;&gt;"",N388,0),IF(D388="Short",(F388-M388)*I388-IF(N388&lt;&gt;"",N388,0),"")),""),"")</f>
        <v/>
      </c>
      <c r="P388" s="14">
        <f>IFERROR(IF(AND(O388&lt;&gt;"",F388&lt;&gt;"",I388&lt;&gt;""),O388/(F388*I388),""),"")</f>
        <v/>
      </c>
      <c r="Q388" s="15">
        <f>IFERROR(IF(AND(O388&lt;&gt;"",J388&lt;&gt;"",J388&lt;&gt;0),O388/J388,""),"")</f>
        <v/>
      </c>
      <c r="R388" s="16">
        <f>IFERROR(IF(AND(L388&lt;&gt;"",B388&lt;&gt;""),L388-B388,""),"")</f>
        <v/>
      </c>
      <c r="S388" s="8" t="n"/>
      <c r="T388" s="8" t="n"/>
      <c r="U388" s="17">
        <f>IF(O388&lt;&gt;"",387,"")</f>
        <v/>
      </c>
      <c r="V388" s="18">
        <f>IF(O388&lt;&gt;"",V387+O388,V387)</f>
        <v/>
      </c>
    </row>
    <row r="389">
      <c r="A389" s="19" t="n"/>
      <c r="B389" s="20" t="n"/>
      <c r="C389" s="19" t="n"/>
      <c r="D389" s="19" t="n"/>
      <c r="E389" s="19" t="n"/>
      <c r="F389" s="21" t="n"/>
      <c r="G389" s="21" t="n"/>
      <c r="H389" s="21" t="n"/>
      <c r="I389" s="22" t="n"/>
      <c r="J389" s="21">
        <f>IFERROR(IF(AND(F389&lt;&gt;"",G389&lt;&gt;"",I389&lt;&gt;""),ABS(F389-G389)*I389,""),"")</f>
        <v/>
      </c>
      <c r="K389" s="23">
        <f>IFERROR(IF(AND(F389&lt;&gt;"",G389&lt;&gt;"",H389&lt;&gt;""),ABS(H389-F389)/ABS(F389-G389),""),"")</f>
        <v/>
      </c>
      <c r="L389" s="20" t="n"/>
      <c r="M389" s="21" t="n"/>
      <c r="N389" s="21" t="n"/>
      <c r="O389" s="24">
        <f>IFERROR(IF(AND(M389&lt;&gt;"",F389&lt;&gt;"",I389&lt;&gt;""),IF(D389="Long",(M389-F389)*I389-IF(N389&lt;&gt;"",N389,0),IF(D389="Short",(F389-M389)*I389-IF(N389&lt;&gt;"",N389,0),"")),""),"")</f>
        <v/>
      </c>
      <c r="P389" s="25">
        <f>IFERROR(IF(AND(O389&lt;&gt;"",F389&lt;&gt;"",I389&lt;&gt;""),O389/(F389*I389),""),"")</f>
        <v/>
      </c>
      <c r="Q389" s="26">
        <f>IFERROR(IF(AND(O389&lt;&gt;"",J389&lt;&gt;"",J389&lt;&gt;0),O389/J389,""),"")</f>
        <v/>
      </c>
      <c r="R389" s="27">
        <f>IFERROR(IF(AND(L389&lt;&gt;"",B389&lt;&gt;""),L389-B389,""),"")</f>
        <v/>
      </c>
      <c r="S389" s="19" t="n"/>
      <c r="T389" s="19" t="n"/>
      <c r="U389" s="17">
        <f>IF(O389&lt;&gt;"",388,"")</f>
        <v/>
      </c>
      <c r="V389" s="18">
        <f>IF(O389&lt;&gt;"",V388+O389,V388)</f>
        <v/>
      </c>
    </row>
    <row r="390">
      <c r="A390" s="8" t="n"/>
      <c r="B390" s="9" t="n"/>
      <c r="C390" s="8" t="n"/>
      <c r="D390" s="8" t="n"/>
      <c r="E390" s="8" t="n"/>
      <c r="F390" s="10" t="n"/>
      <c r="G390" s="10" t="n"/>
      <c r="H390" s="10" t="n"/>
      <c r="I390" s="11" t="n"/>
      <c r="J390" s="10">
        <f>IFERROR(IF(AND(F390&lt;&gt;"",G390&lt;&gt;"",I390&lt;&gt;""),ABS(F390-G390)*I390,""),"")</f>
        <v/>
      </c>
      <c r="K390" s="12">
        <f>IFERROR(IF(AND(F390&lt;&gt;"",G390&lt;&gt;"",H390&lt;&gt;""),ABS(H390-F390)/ABS(F390-G390),""),"")</f>
        <v/>
      </c>
      <c r="L390" s="9" t="n"/>
      <c r="M390" s="10" t="n"/>
      <c r="N390" s="10" t="n"/>
      <c r="O390" s="13">
        <f>IFERROR(IF(AND(M390&lt;&gt;"",F390&lt;&gt;"",I390&lt;&gt;""),IF(D390="Long",(M390-F390)*I390-IF(N390&lt;&gt;"",N390,0),IF(D390="Short",(F390-M390)*I390-IF(N390&lt;&gt;"",N390,0),"")),""),"")</f>
        <v/>
      </c>
      <c r="P390" s="14">
        <f>IFERROR(IF(AND(O390&lt;&gt;"",F390&lt;&gt;"",I390&lt;&gt;""),O390/(F390*I390),""),"")</f>
        <v/>
      </c>
      <c r="Q390" s="15">
        <f>IFERROR(IF(AND(O390&lt;&gt;"",J390&lt;&gt;"",J390&lt;&gt;0),O390/J390,""),"")</f>
        <v/>
      </c>
      <c r="R390" s="16">
        <f>IFERROR(IF(AND(L390&lt;&gt;"",B390&lt;&gt;""),L390-B390,""),"")</f>
        <v/>
      </c>
      <c r="S390" s="8" t="n"/>
      <c r="T390" s="8" t="n"/>
      <c r="U390" s="17">
        <f>IF(O390&lt;&gt;"",389,"")</f>
        <v/>
      </c>
      <c r="V390" s="18">
        <f>IF(O390&lt;&gt;"",V389+O390,V389)</f>
        <v/>
      </c>
    </row>
    <row r="391">
      <c r="A391" s="19" t="n"/>
      <c r="B391" s="20" t="n"/>
      <c r="C391" s="19" t="n"/>
      <c r="D391" s="19" t="n"/>
      <c r="E391" s="19" t="n"/>
      <c r="F391" s="21" t="n"/>
      <c r="G391" s="21" t="n"/>
      <c r="H391" s="21" t="n"/>
      <c r="I391" s="22" t="n"/>
      <c r="J391" s="21">
        <f>IFERROR(IF(AND(F391&lt;&gt;"",G391&lt;&gt;"",I391&lt;&gt;""),ABS(F391-G391)*I391,""),"")</f>
        <v/>
      </c>
      <c r="K391" s="23">
        <f>IFERROR(IF(AND(F391&lt;&gt;"",G391&lt;&gt;"",H391&lt;&gt;""),ABS(H391-F391)/ABS(F391-G391),""),"")</f>
        <v/>
      </c>
      <c r="L391" s="20" t="n"/>
      <c r="M391" s="21" t="n"/>
      <c r="N391" s="21" t="n"/>
      <c r="O391" s="24">
        <f>IFERROR(IF(AND(M391&lt;&gt;"",F391&lt;&gt;"",I391&lt;&gt;""),IF(D391="Long",(M391-F391)*I391-IF(N391&lt;&gt;"",N391,0),IF(D391="Short",(F391-M391)*I391-IF(N391&lt;&gt;"",N391,0),"")),""),"")</f>
        <v/>
      </c>
      <c r="P391" s="25">
        <f>IFERROR(IF(AND(O391&lt;&gt;"",F391&lt;&gt;"",I391&lt;&gt;""),O391/(F391*I391),""),"")</f>
        <v/>
      </c>
      <c r="Q391" s="26">
        <f>IFERROR(IF(AND(O391&lt;&gt;"",J391&lt;&gt;"",J391&lt;&gt;0),O391/J391,""),"")</f>
        <v/>
      </c>
      <c r="R391" s="27">
        <f>IFERROR(IF(AND(L391&lt;&gt;"",B391&lt;&gt;""),L391-B391,""),"")</f>
        <v/>
      </c>
      <c r="S391" s="19" t="n"/>
      <c r="T391" s="19" t="n"/>
      <c r="U391" s="17">
        <f>IF(O391&lt;&gt;"",390,"")</f>
        <v/>
      </c>
      <c r="V391" s="18">
        <f>IF(O391&lt;&gt;"",V390+O391,V390)</f>
        <v/>
      </c>
    </row>
    <row r="392">
      <c r="A392" s="8" t="n"/>
      <c r="B392" s="9" t="n"/>
      <c r="C392" s="8" t="n"/>
      <c r="D392" s="8" t="n"/>
      <c r="E392" s="8" t="n"/>
      <c r="F392" s="10" t="n"/>
      <c r="G392" s="10" t="n"/>
      <c r="H392" s="10" t="n"/>
      <c r="I392" s="11" t="n"/>
      <c r="J392" s="10">
        <f>IFERROR(IF(AND(F392&lt;&gt;"",G392&lt;&gt;"",I392&lt;&gt;""),ABS(F392-G392)*I392,""),"")</f>
        <v/>
      </c>
      <c r="K392" s="12">
        <f>IFERROR(IF(AND(F392&lt;&gt;"",G392&lt;&gt;"",H392&lt;&gt;""),ABS(H392-F392)/ABS(F392-G392),""),"")</f>
        <v/>
      </c>
      <c r="L392" s="9" t="n"/>
      <c r="M392" s="10" t="n"/>
      <c r="N392" s="10" t="n"/>
      <c r="O392" s="13">
        <f>IFERROR(IF(AND(M392&lt;&gt;"",F392&lt;&gt;"",I392&lt;&gt;""),IF(D392="Long",(M392-F392)*I392-IF(N392&lt;&gt;"",N392,0),IF(D392="Short",(F392-M392)*I392-IF(N392&lt;&gt;"",N392,0),"")),""),"")</f>
        <v/>
      </c>
      <c r="P392" s="14">
        <f>IFERROR(IF(AND(O392&lt;&gt;"",F392&lt;&gt;"",I392&lt;&gt;""),O392/(F392*I392),""),"")</f>
        <v/>
      </c>
      <c r="Q392" s="15">
        <f>IFERROR(IF(AND(O392&lt;&gt;"",J392&lt;&gt;"",J392&lt;&gt;0),O392/J392,""),"")</f>
        <v/>
      </c>
      <c r="R392" s="16">
        <f>IFERROR(IF(AND(L392&lt;&gt;"",B392&lt;&gt;""),L392-B392,""),"")</f>
        <v/>
      </c>
      <c r="S392" s="8" t="n"/>
      <c r="T392" s="8" t="n"/>
      <c r="U392" s="17">
        <f>IF(O392&lt;&gt;"",391,"")</f>
        <v/>
      </c>
      <c r="V392" s="18">
        <f>IF(O392&lt;&gt;"",V391+O392,V391)</f>
        <v/>
      </c>
    </row>
    <row r="393">
      <c r="A393" s="19" t="n"/>
      <c r="B393" s="20" t="n"/>
      <c r="C393" s="19" t="n"/>
      <c r="D393" s="19" t="n"/>
      <c r="E393" s="19" t="n"/>
      <c r="F393" s="21" t="n"/>
      <c r="G393" s="21" t="n"/>
      <c r="H393" s="21" t="n"/>
      <c r="I393" s="22" t="n"/>
      <c r="J393" s="21">
        <f>IFERROR(IF(AND(F393&lt;&gt;"",G393&lt;&gt;"",I393&lt;&gt;""),ABS(F393-G393)*I393,""),"")</f>
        <v/>
      </c>
      <c r="K393" s="23">
        <f>IFERROR(IF(AND(F393&lt;&gt;"",G393&lt;&gt;"",H393&lt;&gt;""),ABS(H393-F393)/ABS(F393-G393),""),"")</f>
        <v/>
      </c>
      <c r="L393" s="20" t="n"/>
      <c r="M393" s="21" t="n"/>
      <c r="N393" s="21" t="n"/>
      <c r="O393" s="24">
        <f>IFERROR(IF(AND(M393&lt;&gt;"",F393&lt;&gt;"",I393&lt;&gt;""),IF(D393="Long",(M393-F393)*I393-IF(N393&lt;&gt;"",N393,0),IF(D393="Short",(F393-M393)*I393-IF(N393&lt;&gt;"",N393,0),"")),""),"")</f>
        <v/>
      </c>
      <c r="P393" s="25">
        <f>IFERROR(IF(AND(O393&lt;&gt;"",F393&lt;&gt;"",I393&lt;&gt;""),O393/(F393*I393),""),"")</f>
        <v/>
      </c>
      <c r="Q393" s="26">
        <f>IFERROR(IF(AND(O393&lt;&gt;"",J393&lt;&gt;"",J393&lt;&gt;0),O393/J393,""),"")</f>
        <v/>
      </c>
      <c r="R393" s="27">
        <f>IFERROR(IF(AND(L393&lt;&gt;"",B393&lt;&gt;""),L393-B393,""),"")</f>
        <v/>
      </c>
      <c r="S393" s="19" t="n"/>
      <c r="T393" s="19" t="n"/>
      <c r="U393" s="17">
        <f>IF(O393&lt;&gt;"",392,"")</f>
        <v/>
      </c>
      <c r="V393" s="18">
        <f>IF(O393&lt;&gt;"",V392+O393,V392)</f>
        <v/>
      </c>
    </row>
    <row r="394">
      <c r="A394" s="8" t="n"/>
      <c r="B394" s="9" t="n"/>
      <c r="C394" s="8" t="n"/>
      <c r="D394" s="8" t="n"/>
      <c r="E394" s="8" t="n"/>
      <c r="F394" s="10" t="n"/>
      <c r="G394" s="10" t="n"/>
      <c r="H394" s="10" t="n"/>
      <c r="I394" s="11" t="n"/>
      <c r="J394" s="10">
        <f>IFERROR(IF(AND(F394&lt;&gt;"",G394&lt;&gt;"",I394&lt;&gt;""),ABS(F394-G394)*I394,""),"")</f>
        <v/>
      </c>
      <c r="K394" s="12">
        <f>IFERROR(IF(AND(F394&lt;&gt;"",G394&lt;&gt;"",H394&lt;&gt;""),ABS(H394-F394)/ABS(F394-G394),""),"")</f>
        <v/>
      </c>
      <c r="L394" s="9" t="n"/>
      <c r="M394" s="10" t="n"/>
      <c r="N394" s="10" t="n"/>
      <c r="O394" s="13">
        <f>IFERROR(IF(AND(M394&lt;&gt;"",F394&lt;&gt;"",I394&lt;&gt;""),IF(D394="Long",(M394-F394)*I394-IF(N394&lt;&gt;"",N394,0),IF(D394="Short",(F394-M394)*I394-IF(N394&lt;&gt;"",N394,0),"")),""),"")</f>
        <v/>
      </c>
      <c r="P394" s="14">
        <f>IFERROR(IF(AND(O394&lt;&gt;"",F394&lt;&gt;"",I394&lt;&gt;""),O394/(F394*I394),""),"")</f>
        <v/>
      </c>
      <c r="Q394" s="15">
        <f>IFERROR(IF(AND(O394&lt;&gt;"",J394&lt;&gt;"",J394&lt;&gt;0),O394/J394,""),"")</f>
        <v/>
      </c>
      <c r="R394" s="16">
        <f>IFERROR(IF(AND(L394&lt;&gt;"",B394&lt;&gt;""),L394-B394,""),"")</f>
        <v/>
      </c>
      <c r="S394" s="8" t="n"/>
      <c r="T394" s="8" t="n"/>
      <c r="U394" s="17">
        <f>IF(O394&lt;&gt;"",393,"")</f>
        <v/>
      </c>
      <c r="V394" s="18">
        <f>IF(O394&lt;&gt;"",V393+O394,V393)</f>
        <v/>
      </c>
    </row>
    <row r="395">
      <c r="A395" s="19" t="n"/>
      <c r="B395" s="20" t="n"/>
      <c r="C395" s="19" t="n"/>
      <c r="D395" s="19" t="n"/>
      <c r="E395" s="19" t="n"/>
      <c r="F395" s="21" t="n"/>
      <c r="G395" s="21" t="n"/>
      <c r="H395" s="21" t="n"/>
      <c r="I395" s="22" t="n"/>
      <c r="J395" s="21">
        <f>IFERROR(IF(AND(F395&lt;&gt;"",G395&lt;&gt;"",I395&lt;&gt;""),ABS(F395-G395)*I395,""),"")</f>
        <v/>
      </c>
      <c r="K395" s="23">
        <f>IFERROR(IF(AND(F395&lt;&gt;"",G395&lt;&gt;"",H395&lt;&gt;""),ABS(H395-F395)/ABS(F395-G395),""),"")</f>
        <v/>
      </c>
      <c r="L395" s="20" t="n"/>
      <c r="M395" s="21" t="n"/>
      <c r="N395" s="21" t="n"/>
      <c r="O395" s="24">
        <f>IFERROR(IF(AND(M395&lt;&gt;"",F395&lt;&gt;"",I395&lt;&gt;""),IF(D395="Long",(M395-F395)*I395-IF(N395&lt;&gt;"",N395,0),IF(D395="Short",(F395-M395)*I395-IF(N395&lt;&gt;"",N395,0),"")),""),"")</f>
        <v/>
      </c>
      <c r="P395" s="25">
        <f>IFERROR(IF(AND(O395&lt;&gt;"",F395&lt;&gt;"",I395&lt;&gt;""),O395/(F395*I395),""),"")</f>
        <v/>
      </c>
      <c r="Q395" s="26">
        <f>IFERROR(IF(AND(O395&lt;&gt;"",J395&lt;&gt;"",J395&lt;&gt;0),O395/J395,""),"")</f>
        <v/>
      </c>
      <c r="R395" s="27">
        <f>IFERROR(IF(AND(L395&lt;&gt;"",B395&lt;&gt;""),L395-B395,""),"")</f>
        <v/>
      </c>
      <c r="S395" s="19" t="n"/>
      <c r="T395" s="19" t="n"/>
      <c r="U395" s="17">
        <f>IF(O395&lt;&gt;"",394,"")</f>
        <v/>
      </c>
      <c r="V395" s="18">
        <f>IF(O395&lt;&gt;"",V394+O395,V394)</f>
        <v/>
      </c>
    </row>
    <row r="396">
      <c r="A396" s="8" t="n"/>
      <c r="B396" s="9" t="n"/>
      <c r="C396" s="8" t="n"/>
      <c r="D396" s="8" t="n"/>
      <c r="E396" s="8" t="n"/>
      <c r="F396" s="10" t="n"/>
      <c r="G396" s="10" t="n"/>
      <c r="H396" s="10" t="n"/>
      <c r="I396" s="11" t="n"/>
      <c r="J396" s="10">
        <f>IFERROR(IF(AND(F396&lt;&gt;"",G396&lt;&gt;"",I396&lt;&gt;""),ABS(F396-G396)*I396,""),"")</f>
        <v/>
      </c>
      <c r="K396" s="12">
        <f>IFERROR(IF(AND(F396&lt;&gt;"",G396&lt;&gt;"",H396&lt;&gt;""),ABS(H396-F396)/ABS(F396-G396),""),"")</f>
        <v/>
      </c>
      <c r="L396" s="9" t="n"/>
      <c r="M396" s="10" t="n"/>
      <c r="N396" s="10" t="n"/>
      <c r="O396" s="13">
        <f>IFERROR(IF(AND(M396&lt;&gt;"",F396&lt;&gt;"",I396&lt;&gt;""),IF(D396="Long",(M396-F396)*I396-IF(N396&lt;&gt;"",N396,0),IF(D396="Short",(F396-M396)*I396-IF(N396&lt;&gt;"",N396,0),"")),""),"")</f>
        <v/>
      </c>
      <c r="P396" s="14">
        <f>IFERROR(IF(AND(O396&lt;&gt;"",F396&lt;&gt;"",I396&lt;&gt;""),O396/(F396*I396),""),"")</f>
        <v/>
      </c>
      <c r="Q396" s="15">
        <f>IFERROR(IF(AND(O396&lt;&gt;"",J396&lt;&gt;"",J396&lt;&gt;0),O396/J396,""),"")</f>
        <v/>
      </c>
      <c r="R396" s="16">
        <f>IFERROR(IF(AND(L396&lt;&gt;"",B396&lt;&gt;""),L396-B396,""),"")</f>
        <v/>
      </c>
      <c r="S396" s="8" t="n"/>
      <c r="T396" s="8" t="n"/>
      <c r="U396" s="17">
        <f>IF(O396&lt;&gt;"",395,"")</f>
        <v/>
      </c>
      <c r="V396" s="18">
        <f>IF(O396&lt;&gt;"",V395+O396,V395)</f>
        <v/>
      </c>
    </row>
    <row r="397">
      <c r="A397" s="19" t="n"/>
      <c r="B397" s="20" t="n"/>
      <c r="C397" s="19" t="n"/>
      <c r="D397" s="19" t="n"/>
      <c r="E397" s="19" t="n"/>
      <c r="F397" s="21" t="n"/>
      <c r="G397" s="21" t="n"/>
      <c r="H397" s="21" t="n"/>
      <c r="I397" s="22" t="n"/>
      <c r="J397" s="21">
        <f>IFERROR(IF(AND(F397&lt;&gt;"",G397&lt;&gt;"",I397&lt;&gt;""),ABS(F397-G397)*I397,""),"")</f>
        <v/>
      </c>
      <c r="K397" s="23">
        <f>IFERROR(IF(AND(F397&lt;&gt;"",G397&lt;&gt;"",H397&lt;&gt;""),ABS(H397-F397)/ABS(F397-G397),""),"")</f>
        <v/>
      </c>
      <c r="L397" s="20" t="n"/>
      <c r="M397" s="21" t="n"/>
      <c r="N397" s="21" t="n"/>
      <c r="O397" s="24">
        <f>IFERROR(IF(AND(M397&lt;&gt;"",F397&lt;&gt;"",I397&lt;&gt;""),IF(D397="Long",(M397-F397)*I397-IF(N397&lt;&gt;"",N397,0),IF(D397="Short",(F397-M397)*I397-IF(N397&lt;&gt;"",N397,0),"")),""),"")</f>
        <v/>
      </c>
      <c r="P397" s="25">
        <f>IFERROR(IF(AND(O397&lt;&gt;"",F397&lt;&gt;"",I397&lt;&gt;""),O397/(F397*I397),""),"")</f>
        <v/>
      </c>
      <c r="Q397" s="26">
        <f>IFERROR(IF(AND(O397&lt;&gt;"",J397&lt;&gt;"",J397&lt;&gt;0),O397/J397,""),"")</f>
        <v/>
      </c>
      <c r="R397" s="27">
        <f>IFERROR(IF(AND(L397&lt;&gt;"",B397&lt;&gt;""),L397-B397,""),"")</f>
        <v/>
      </c>
      <c r="S397" s="19" t="n"/>
      <c r="T397" s="19" t="n"/>
      <c r="U397" s="17">
        <f>IF(O397&lt;&gt;"",396,"")</f>
        <v/>
      </c>
      <c r="V397" s="18">
        <f>IF(O397&lt;&gt;"",V396+O397,V396)</f>
        <v/>
      </c>
    </row>
    <row r="398">
      <c r="A398" s="8" t="n"/>
      <c r="B398" s="9" t="n"/>
      <c r="C398" s="8" t="n"/>
      <c r="D398" s="8" t="n"/>
      <c r="E398" s="8" t="n"/>
      <c r="F398" s="10" t="n"/>
      <c r="G398" s="10" t="n"/>
      <c r="H398" s="10" t="n"/>
      <c r="I398" s="11" t="n"/>
      <c r="J398" s="10">
        <f>IFERROR(IF(AND(F398&lt;&gt;"",G398&lt;&gt;"",I398&lt;&gt;""),ABS(F398-G398)*I398,""),"")</f>
        <v/>
      </c>
      <c r="K398" s="12">
        <f>IFERROR(IF(AND(F398&lt;&gt;"",G398&lt;&gt;"",H398&lt;&gt;""),ABS(H398-F398)/ABS(F398-G398),""),"")</f>
        <v/>
      </c>
      <c r="L398" s="9" t="n"/>
      <c r="M398" s="10" t="n"/>
      <c r="N398" s="10" t="n"/>
      <c r="O398" s="13">
        <f>IFERROR(IF(AND(M398&lt;&gt;"",F398&lt;&gt;"",I398&lt;&gt;""),IF(D398="Long",(M398-F398)*I398-IF(N398&lt;&gt;"",N398,0),IF(D398="Short",(F398-M398)*I398-IF(N398&lt;&gt;"",N398,0),"")),""),"")</f>
        <v/>
      </c>
      <c r="P398" s="14">
        <f>IFERROR(IF(AND(O398&lt;&gt;"",F398&lt;&gt;"",I398&lt;&gt;""),O398/(F398*I398),""),"")</f>
        <v/>
      </c>
      <c r="Q398" s="15">
        <f>IFERROR(IF(AND(O398&lt;&gt;"",J398&lt;&gt;"",J398&lt;&gt;0),O398/J398,""),"")</f>
        <v/>
      </c>
      <c r="R398" s="16">
        <f>IFERROR(IF(AND(L398&lt;&gt;"",B398&lt;&gt;""),L398-B398,""),"")</f>
        <v/>
      </c>
      <c r="S398" s="8" t="n"/>
      <c r="T398" s="8" t="n"/>
      <c r="U398" s="17">
        <f>IF(O398&lt;&gt;"",397,"")</f>
        <v/>
      </c>
      <c r="V398" s="18">
        <f>IF(O398&lt;&gt;"",V397+O398,V397)</f>
        <v/>
      </c>
    </row>
    <row r="399">
      <c r="A399" s="19" t="n"/>
      <c r="B399" s="20" t="n"/>
      <c r="C399" s="19" t="n"/>
      <c r="D399" s="19" t="n"/>
      <c r="E399" s="19" t="n"/>
      <c r="F399" s="21" t="n"/>
      <c r="G399" s="21" t="n"/>
      <c r="H399" s="21" t="n"/>
      <c r="I399" s="22" t="n"/>
      <c r="J399" s="21">
        <f>IFERROR(IF(AND(F399&lt;&gt;"",G399&lt;&gt;"",I399&lt;&gt;""),ABS(F399-G399)*I399,""),"")</f>
        <v/>
      </c>
      <c r="K399" s="23">
        <f>IFERROR(IF(AND(F399&lt;&gt;"",G399&lt;&gt;"",H399&lt;&gt;""),ABS(H399-F399)/ABS(F399-G399),""),"")</f>
        <v/>
      </c>
      <c r="L399" s="20" t="n"/>
      <c r="M399" s="21" t="n"/>
      <c r="N399" s="21" t="n"/>
      <c r="O399" s="24">
        <f>IFERROR(IF(AND(M399&lt;&gt;"",F399&lt;&gt;"",I399&lt;&gt;""),IF(D399="Long",(M399-F399)*I399-IF(N399&lt;&gt;"",N399,0),IF(D399="Short",(F399-M399)*I399-IF(N399&lt;&gt;"",N399,0),"")),""),"")</f>
        <v/>
      </c>
      <c r="P399" s="25">
        <f>IFERROR(IF(AND(O399&lt;&gt;"",F399&lt;&gt;"",I399&lt;&gt;""),O399/(F399*I399),""),"")</f>
        <v/>
      </c>
      <c r="Q399" s="26">
        <f>IFERROR(IF(AND(O399&lt;&gt;"",J399&lt;&gt;"",J399&lt;&gt;0),O399/J399,""),"")</f>
        <v/>
      </c>
      <c r="R399" s="27">
        <f>IFERROR(IF(AND(L399&lt;&gt;"",B399&lt;&gt;""),L399-B399,""),"")</f>
        <v/>
      </c>
      <c r="S399" s="19" t="n"/>
      <c r="T399" s="19" t="n"/>
      <c r="U399" s="17">
        <f>IF(O399&lt;&gt;"",398,"")</f>
        <v/>
      </c>
      <c r="V399" s="18">
        <f>IF(O399&lt;&gt;"",V398+O399,V398)</f>
        <v/>
      </c>
    </row>
    <row r="400">
      <c r="A400" s="8" t="n"/>
      <c r="B400" s="9" t="n"/>
      <c r="C400" s="8" t="n"/>
      <c r="D400" s="8" t="n"/>
      <c r="E400" s="8" t="n"/>
      <c r="F400" s="10" t="n"/>
      <c r="G400" s="10" t="n"/>
      <c r="H400" s="10" t="n"/>
      <c r="I400" s="11" t="n"/>
      <c r="J400" s="10">
        <f>IFERROR(IF(AND(F400&lt;&gt;"",G400&lt;&gt;"",I400&lt;&gt;""),ABS(F400-G400)*I400,""),"")</f>
        <v/>
      </c>
      <c r="K400" s="12">
        <f>IFERROR(IF(AND(F400&lt;&gt;"",G400&lt;&gt;"",H400&lt;&gt;""),ABS(H400-F400)/ABS(F400-G400),""),"")</f>
        <v/>
      </c>
      <c r="L400" s="9" t="n"/>
      <c r="M400" s="10" t="n"/>
      <c r="N400" s="10" t="n"/>
      <c r="O400" s="13">
        <f>IFERROR(IF(AND(M400&lt;&gt;"",F400&lt;&gt;"",I400&lt;&gt;""),IF(D400="Long",(M400-F400)*I400-IF(N400&lt;&gt;"",N400,0),IF(D400="Short",(F400-M400)*I400-IF(N400&lt;&gt;"",N400,0),"")),""),"")</f>
        <v/>
      </c>
      <c r="P400" s="14">
        <f>IFERROR(IF(AND(O400&lt;&gt;"",F400&lt;&gt;"",I400&lt;&gt;""),O400/(F400*I400),""),"")</f>
        <v/>
      </c>
      <c r="Q400" s="15">
        <f>IFERROR(IF(AND(O400&lt;&gt;"",J400&lt;&gt;"",J400&lt;&gt;0),O400/J400,""),"")</f>
        <v/>
      </c>
      <c r="R400" s="16">
        <f>IFERROR(IF(AND(L400&lt;&gt;"",B400&lt;&gt;""),L400-B400,""),"")</f>
        <v/>
      </c>
      <c r="S400" s="8" t="n"/>
      <c r="T400" s="8" t="n"/>
      <c r="U400" s="17">
        <f>IF(O400&lt;&gt;"",399,"")</f>
        <v/>
      </c>
      <c r="V400" s="18">
        <f>IF(O400&lt;&gt;"",V399+O400,V399)</f>
        <v/>
      </c>
    </row>
    <row r="401">
      <c r="A401" s="19" t="n"/>
      <c r="B401" s="20" t="n"/>
      <c r="C401" s="19" t="n"/>
      <c r="D401" s="19" t="n"/>
      <c r="E401" s="19" t="n"/>
      <c r="F401" s="21" t="n"/>
      <c r="G401" s="21" t="n"/>
      <c r="H401" s="21" t="n"/>
      <c r="I401" s="22" t="n"/>
      <c r="J401" s="21">
        <f>IFERROR(IF(AND(F401&lt;&gt;"",G401&lt;&gt;"",I401&lt;&gt;""),ABS(F401-G401)*I401,""),"")</f>
        <v/>
      </c>
      <c r="K401" s="23">
        <f>IFERROR(IF(AND(F401&lt;&gt;"",G401&lt;&gt;"",H401&lt;&gt;""),ABS(H401-F401)/ABS(F401-G401),""),"")</f>
        <v/>
      </c>
      <c r="L401" s="20" t="n"/>
      <c r="M401" s="21" t="n"/>
      <c r="N401" s="21" t="n"/>
      <c r="O401" s="24">
        <f>IFERROR(IF(AND(M401&lt;&gt;"",F401&lt;&gt;"",I401&lt;&gt;""),IF(D401="Long",(M401-F401)*I401-IF(N401&lt;&gt;"",N401,0),IF(D401="Short",(F401-M401)*I401-IF(N401&lt;&gt;"",N401,0),"")),""),"")</f>
        <v/>
      </c>
      <c r="P401" s="25">
        <f>IFERROR(IF(AND(O401&lt;&gt;"",F401&lt;&gt;"",I401&lt;&gt;""),O401/(F401*I401),""),"")</f>
        <v/>
      </c>
      <c r="Q401" s="26">
        <f>IFERROR(IF(AND(O401&lt;&gt;"",J401&lt;&gt;"",J401&lt;&gt;0),O401/J401,""),"")</f>
        <v/>
      </c>
      <c r="R401" s="27">
        <f>IFERROR(IF(AND(L401&lt;&gt;"",B401&lt;&gt;""),L401-B401,""),"")</f>
        <v/>
      </c>
      <c r="S401" s="19" t="n"/>
      <c r="T401" s="19" t="n"/>
      <c r="U401" s="17">
        <f>IF(O401&lt;&gt;"",400,"")</f>
        <v/>
      </c>
      <c r="V401" s="18">
        <f>IF(O401&lt;&gt;"",V400+O401,V400)</f>
        <v/>
      </c>
    </row>
    <row r="402">
      <c r="A402" s="8" t="n"/>
      <c r="B402" s="9" t="n"/>
      <c r="C402" s="8" t="n"/>
      <c r="D402" s="8" t="n"/>
      <c r="E402" s="8" t="n"/>
      <c r="F402" s="10" t="n"/>
      <c r="G402" s="10" t="n"/>
      <c r="H402" s="10" t="n"/>
      <c r="I402" s="11" t="n"/>
      <c r="J402" s="10">
        <f>IFERROR(IF(AND(F402&lt;&gt;"",G402&lt;&gt;"",I402&lt;&gt;""),ABS(F402-G402)*I402,""),"")</f>
        <v/>
      </c>
      <c r="K402" s="12">
        <f>IFERROR(IF(AND(F402&lt;&gt;"",G402&lt;&gt;"",H402&lt;&gt;""),ABS(H402-F402)/ABS(F402-G402),""),"")</f>
        <v/>
      </c>
      <c r="L402" s="9" t="n"/>
      <c r="M402" s="10" t="n"/>
      <c r="N402" s="10" t="n"/>
      <c r="O402" s="13">
        <f>IFERROR(IF(AND(M402&lt;&gt;"",F402&lt;&gt;"",I402&lt;&gt;""),IF(D402="Long",(M402-F402)*I402-IF(N402&lt;&gt;"",N402,0),IF(D402="Short",(F402-M402)*I402-IF(N402&lt;&gt;"",N402,0),"")),""),"")</f>
        <v/>
      </c>
      <c r="P402" s="14">
        <f>IFERROR(IF(AND(O402&lt;&gt;"",F402&lt;&gt;"",I402&lt;&gt;""),O402/(F402*I402),""),"")</f>
        <v/>
      </c>
      <c r="Q402" s="15">
        <f>IFERROR(IF(AND(O402&lt;&gt;"",J402&lt;&gt;"",J402&lt;&gt;0),O402/J402,""),"")</f>
        <v/>
      </c>
      <c r="R402" s="16">
        <f>IFERROR(IF(AND(L402&lt;&gt;"",B402&lt;&gt;""),L402-B402,""),"")</f>
        <v/>
      </c>
      <c r="S402" s="8" t="n"/>
      <c r="T402" s="8" t="n"/>
      <c r="U402" s="17">
        <f>IF(O402&lt;&gt;"",401,"")</f>
        <v/>
      </c>
      <c r="V402" s="18">
        <f>IF(O402&lt;&gt;"",V401+O402,V401)</f>
        <v/>
      </c>
    </row>
    <row r="403">
      <c r="A403" s="19" t="n"/>
      <c r="B403" s="20" t="n"/>
      <c r="C403" s="19" t="n"/>
      <c r="D403" s="19" t="n"/>
      <c r="E403" s="19" t="n"/>
      <c r="F403" s="21" t="n"/>
      <c r="G403" s="21" t="n"/>
      <c r="H403" s="21" t="n"/>
      <c r="I403" s="22" t="n"/>
      <c r="J403" s="21">
        <f>IFERROR(IF(AND(F403&lt;&gt;"",G403&lt;&gt;"",I403&lt;&gt;""),ABS(F403-G403)*I403,""),"")</f>
        <v/>
      </c>
      <c r="K403" s="23">
        <f>IFERROR(IF(AND(F403&lt;&gt;"",G403&lt;&gt;"",H403&lt;&gt;""),ABS(H403-F403)/ABS(F403-G403),""),"")</f>
        <v/>
      </c>
      <c r="L403" s="20" t="n"/>
      <c r="M403" s="21" t="n"/>
      <c r="N403" s="21" t="n"/>
      <c r="O403" s="24">
        <f>IFERROR(IF(AND(M403&lt;&gt;"",F403&lt;&gt;"",I403&lt;&gt;""),IF(D403="Long",(M403-F403)*I403-IF(N403&lt;&gt;"",N403,0),IF(D403="Short",(F403-M403)*I403-IF(N403&lt;&gt;"",N403,0),"")),""),"")</f>
        <v/>
      </c>
      <c r="P403" s="25">
        <f>IFERROR(IF(AND(O403&lt;&gt;"",F403&lt;&gt;"",I403&lt;&gt;""),O403/(F403*I403),""),"")</f>
        <v/>
      </c>
      <c r="Q403" s="26">
        <f>IFERROR(IF(AND(O403&lt;&gt;"",J403&lt;&gt;"",J403&lt;&gt;0),O403/J403,""),"")</f>
        <v/>
      </c>
      <c r="R403" s="27">
        <f>IFERROR(IF(AND(L403&lt;&gt;"",B403&lt;&gt;""),L403-B403,""),"")</f>
        <v/>
      </c>
      <c r="S403" s="19" t="n"/>
      <c r="T403" s="19" t="n"/>
      <c r="U403" s="17">
        <f>IF(O403&lt;&gt;"",402,"")</f>
        <v/>
      </c>
      <c r="V403" s="18">
        <f>IF(O403&lt;&gt;"",V402+O403,V402)</f>
        <v/>
      </c>
    </row>
    <row r="404">
      <c r="A404" s="8" t="n"/>
      <c r="B404" s="9" t="n"/>
      <c r="C404" s="8" t="n"/>
      <c r="D404" s="8" t="n"/>
      <c r="E404" s="8" t="n"/>
      <c r="F404" s="10" t="n"/>
      <c r="G404" s="10" t="n"/>
      <c r="H404" s="10" t="n"/>
      <c r="I404" s="11" t="n"/>
      <c r="J404" s="10">
        <f>IFERROR(IF(AND(F404&lt;&gt;"",G404&lt;&gt;"",I404&lt;&gt;""),ABS(F404-G404)*I404,""),"")</f>
        <v/>
      </c>
      <c r="K404" s="12">
        <f>IFERROR(IF(AND(F404&lt;&gt;"",G404&lt;&gt;"",H404&lt;&gt;""),ABS(H404-F404)/ABS(F404-G404),""),"")</f>
        <v/>
      </c>
      <c r="L404" s="9" t="n"/>
      <c r="M404" s="10" t="n"/>
      <c r="N404" s="10" t="n"/>
      <c r="O404" s="13">
        <f>IFERROR(IF(AND(M404&lt;&gt;"",F404&lt;&gt;"",I404&lt;&gt;""),IF(D404="Long",(M404-F404)*I404-IF(N404&lt;&gt;"",N404,0),IF(D404="Short",(F404-M404)*I404-IF(N404&lt;&gt;"",N404,0),"")),""),"")</f>
        <v/>
      </c>
      <c r="P404" s="14">
        <f>IFERROR(IF(AND(O404&lt;&gt;"",F404&lt;&gt;"",I404&lt;&gt;""),O404/(F404*I404),""),"")</f>
        <v/>
      </c>
      <c r="Q404" s="15">
        <f>IFERROR(IF(AND(O404&lt;&gt;"",J404&lt;&gt;"",J404&lt;&gt;0),O404/J404,""),"")</f>
        <v/>
      </c>
      <c r="R404" s="16">
        <f>IFERROR(IF(AND(L404&lt;&gt;"",B404&lt;&gt;""),L404-B404,""),"")</f>
        <v/>
      </c>
      <c r="S404" s="8" t="n"/>
      <c r="T404" s="8" t="n"/>
      <c r="U404" s="17">
        <f>IF(O404&lt;&gt;"",403,"")</f>
        <v/>
      </c>
      <c r="V404" s="18">
        <f>IF(O404&lt;&gt;"",V403+O404,V403)</f>
        <v/>
      </c>
    </row>
    <row r="405">
      <c r="A405" s="19" t="n"/>
      <c r="B405" s="20" t="n"/>
      <c r="C405" s="19" t="n"/>
      <c r="D405" s="19" t="n"/>
      <c r="E405" s="19" t="n"/>
      <c r="F405" s="21" t="n"/>
      <c r="G405" s="21" t="n"/>
      <c r="H405" s="21" t="n"/>
      <c r="I405" s="22" t="n"/>
      <c r="J405" s="21">
        <f>IFERROR(IF(AND(F405&lt;&gt;"",G405&lt;&gt;"",I405&lt;&gt;""),ABS(F405-G405)*I405,""),"")</f>
        <v/>
      </c>
      <c r="K405" s="23">
        <f>IFERROR(IF(AND(F405&lt;&gt;"",G405&lt;&gt;"",H405&lt;&gt;""),ABS(H405-F405)/ABS(F405-G405),""),"")</f>
        <v/>
      </c>
      <c r="L405" s="20" t="n"/>
      <c r="M405" s="21" t="n"/>
      <c r="N405" s="21" t="n"/>
      <c r="O405" s="24">
        <f>IFERROR(IF(AND(M405&lt;&gt;"",F405&lt;&gt;"",I405&lt;&gt;""),IF(D405="Long",(M405-F405)*I405-IF(N405&lt;&gt;"",N405,0),IF(D405="Short",(F405-M405)*I405-IF(N405&lt;&gt;"",N405,0),"")),""),"")</f>
        <v/>
      </c>
      <c r="P405" s="25">
        <f>IFERROR(IF(AND(O405&lt;&gt;"",F405&lt;&gt;"",I405&lt;&gt;""),O405/(F405*I405),""),"")</f>
        <v/>
      </c>
      <c r="Q405" s="26">
        <f>IFERROR(IF(AND(O405&lt;&gt;"",J405&lt;&gt;"",J405&lt;&gt;0),O405/J405,""),"")</f>
        <v/>
      </c>
      <c r="R405" s="27">
        <f>IFERROR(IF(AND(L405&lt;&gt;"",B405&lt;&gt;""),L405-B405,""),"")</f>
        <v/>
      </c>
      <c r="S405" s="19" t="n"/>
      <c r="T405" s="19" t="n"/>
      <c r="U405" s="17">
        <f>IF(O405&lt;&gt;"",404,"")</f>
        <v/>
      </c>
      <c r="V405" s="18">
        <f>IF(O405&lt;&gt;"",V404+O405,V404)</f>
        <v/>
      </c>
    </row>
    <row r="406">
      <c r="A406" s="8" t="n"/>
      <c r="B406" s="9" t="n"/>
      <c r="C406" s="8" t="n"/>
      <c r="D406" s="8" t="n"/>
      <c r="E406" s="8" t="n"/>
      <c r="F406" s="10" t="n"/>
      <c r="G406" s="10" t="n"/>
      <c r="H406" s="10" t="n"/>
      <c r="I406" s="11" t="n"/>
      <c r="J406" s="10">
        <f>IFERROR(IF(AND(F406&lt;&gt;"",G406&lt;&gt;"",I406&lt;&gt;""),ABS(F406-G406)*I406,""),"")</f>
        <v/>
      </c>
      <c r="K406" s="12">
        <f>IFERROR(IF(AND(F406&lt;&gt;"",G406&lt;&gt;"",H406&lt;&gt;""),ABS(H406-F406)/ABS(F406-G406),""),"")</f>
        <v/>
      </c>
      <c r="L406" s="9" t="n"/>
      <c r="M406" s="10" t="n"/>
      <c r="N406" s="10" t="n"/>
      <c r="O406" s="13">
        <f>IFERROR(IF(AND(M406&lt;&gt;"",F406&lt;&gt;"",I406&lt;&gt;""),IF(D406="Long",(M406-F406)*I406-IF(N406&lt;&gt;"",N406,0),IF(D406="Short",(F406-M406)*I406-IF(N406&lt;&gt;"",N406,0),"")),""),"")</f>
        <v/>
      </c>
      <c r="P406" s="14">
        <f>IFERROR(IF(AND(O406&lt;&gt;"",F406&lt;&gt;"",I406&lt;&gt;""),O406/(F406*I406),""),"")</f>
        <v/>
      </c>
      <c r="Q406" s="15">
        <f>IFERROR(IF(AND(O406&lt;&gt;"",J406&lt;&gt;"",J406&lt;&gt;0),O406/J406,""),"")</f>
        <v/>
      </c>
      <c r="R406" s="16">
        <f>IFERROR(IF(AND(L406&lt;&gt;"",B406&lt;&gt;""),L406-B406,""),"")</f>
        <v/>
      </c>
      <c r="S406" s="8" t="n"/>
      <c r="T406" s="8" t="n"/>
      <c r="U406" s="17">
        <f>IF(O406&lt;&gt;"",405,"")</f>
        <v/>
      </c>
      <c r="V406" s="18">
        <f>IF(O406&lt;&gt;"",V405+O406,V405)</f>
        <v/>
      </c>
    </row>
    <row r="407">
      <c r="A407" s="19" t="n"/>
      <c r="B407" s="20" t="n"/>
      <c r="C407" s="19" t="n"/>
      <c r="D407" s="19" t="n"/>
      <c r="E407" s="19" t="n"/>
      <c r="F407" s="21" t="n"/>
      <c r="G407" s="21" t="n"/>
      <c r="H407" s="21" t="n"/>
      <c r="I407" s="22" t="n"/>
      <c r="J407" s="21">
        <f>IFERROR(IF(AND(F407&lt;&gt;"",G407&lt;&gt;"",I407&lt;&gt;""),ABS(F407-G407)*I407,""),"")</f>
        <v/>
      </c>
      <c r="K407" s="23">
        <f>IFERROR(IF(AND(F407&lt;&gt;"",G407&lt;&gt;"",H407&lt;&gt;""),ABS(H407-F407)/ABS(F407-G407),""),"")</f>
        <v/>
      </c>
      <c r="L407" s="20" t="n"/>
      <c r="M407" s="21" t="n"/>
      <c r="N407" s="21" t="n"/>
      <c r="O407" s="24">
        <f>IFERROR(IF(AND(M407&lt;&gt;"",F407&lt;&gt;"",I407&lt;&gt;""),IF(D407="Long",(M407-F407)*I407-IF(N407&lt;&gt;"",N407,0),IF(D407="Short",(F407-M407)*I407-IF(N407&lt;&gt;"",N407,0),"")),""),"")</f>
        <v/>
      </c>
      <c r="P407" s="25">
        <f>IFERROR(IF(AND(O407&lt;&gt;"",F407&lt;&gt;"",I407&lt;&gt;""),O407/(F407*I407),""),"")</f>
        <v/>
      </c>
      <c r="Q407" s="26">
        <f>IFERROR(IF(AND(O407&lt;&gt;"",J407&lt;&gt;"",J407&lt;&gt;0),O407/J407,""),"")</f>
        <v/>
      </c>
      <c r="R407" s="27">
        <f>IFERROR(IF(AND(L407&lt;&gt;"",B407&lt;&gt;""),L407-B407,""),"")</f>
        <v/>
      </c>
      <c r="S407" s="19" t="n"/>
      <c r="T407" s="19" t="n"/>
      <c r="U407" s="17">
        <f>IF(O407&lt;&gt;"",406,"")</f>
        <v/>
      </c>
      <c r="V407" s="18">
        <f>IF(O407&lt;&gt;"",V406+O407,V406)</f>
        <v/>
      </c>
    </row>
    <row r="408">
      <c r="A408" s="8" t="n"/>
      <c r="B408" s="9" t="n"/>
      <c r="C408" s="8" t="n"/>
      <c r="D408" s="8" t="n"/>
      <c r="E408" s="8" t="n"/>
      <c r="F408" s="10" t="n"/>
      <c r="G408" s="10" t="n"/>
      <c r="H408" s="10" t="n"/>
      <c r="I408" s="11" t="n"/>
      <c r="J408" s="10">
        <f>IFERROR(IF(AND(F408&lt;&gt;"",G408&lt;&gt;"",I408&lt;&gt;""),ABS(F408-G408)*I408,""),"")</f>
        <v/>
      </c>
      <c r="K408" s="12">
        <f>IFERROR(IF(AND(F408&lt;&gt;"",G408&lt;&gt;"",H408&lt;&gt;""),ABS(H408-F408)/ABS(F408-G408),""),"")</f>
        <v/>
      </c>
      <c r="L408" s="9" t="n"/>
      <c r="M408" s="10" t="n"/>
      <c r="N408" s="10" t="n"/>
      <c r="O408" s="13">
        <f>IFERROR(IF(AND(M408&lt;&gt;"",F408&lt;&gt;"",I408&lt;&gt;""),IF(D408="Long",(M408-F408)*I408-IF(N408&lt;&gt;"",N408,0),IF(D408="Short",(F408-M408)*I408-IF(N408&lt;&gt;"",N408,0),"")),""),"")</f>
        <v/>
      </c>
      <c r="P408" s="14">
        <f>IFERROR(IF(AND(O408&lt;&gt;"",F408&lt;&gt;"",I408&lt;&gt;""),O408/(F408*I408),""),"")</f>
        <v/>
      </c>
      <c r="Q408" s="15">
        <f>IFERROR(IF(AND(O408&lt;&gt;"",J408&lt;&gt;"",J408&lt;&gt;0),O408/J408,""),"")</f>
        <v/>
      </c>
      <c r="R408" s="16">
        <f>IFERROR(IF(AND(L408&lt;&gt;"",B408&lt;&gt;""),L408-B408,""),"")</f>
        <v/>
      </c>
      <c r="S408" s="8" t="n"/>
      <c r="T408" s="8" t="n"/>
      <c r="U408" s="17">
        <f>IF(O408&lt;&gt;"",407,"")</f>
        <v/>
      </c>
      <c r="V408" s="18">
        <f>IF(O408&lt;&gt;"",V407+O408,V407)</f>
        <v/>
      </c>
    </row>
    <row r="409">
      <c r="A409" s="19" t="n"/>
      <c r="B409" s="20" t="n"/>
      <c r="C409" s="19" t="n"/>
      <c r="D409" s="19" t="n"/>
      <c r="E409" s="19" t="n"/>
      <c r="F409" s="21" t="n"/>
      <c r="G409" s="21" t="n"/>
      <c r="H409" s="21" t="n"/>
      <c r="I409" s="22" t="n"/>
      <c r="J409" s="21">
        <f>IFERROR(IF(AND(F409&lt;&gt;"",G409&lt;&gt;"",I409&lt;&gt;""),ABS(F409-G409)*I409,""),"")</f>
        <v/>
      </c>
      <c r="K409" s="23">
        <f>IFERROR(IF(AND(F409&lt;&gt;"",G409&lt;&gt;"",H409&lt;&gt;""),ABS(H409-F409)/ABS(F409-G409),""),"")</f>
        <v/>
      </c>
      <c r="L409" s="20" t="n"/>
      <c r="M409" s="21" t="n"/>
      <c r="N409" s="21" t="n"/>
      <c r="O409" s="24">
        <f>IFERROR(IF(AND(M409&lt;&gt;"",F409&lt;&gt;"",I409&lt;&gt;""),IF(D409="Long",(M409-F409)*I409-IF(N409&lt;&gt;"",N409,0),IF(D409="Short",(F409-M409)*I409-IF(N409&lt;&gt;"",N409,0),"")),""),"")</f>
        <v/>
      </c>
      <c r="P409" s="25">
        <f>IFERROR(IF(AND(O409&lt;&gt;"",F409&lt;&gt;"",I409&lt;&gt;""),O409/(F409*I409),""),"")</f>
        <v/>
      </c>
      <c r="Q409" s="26">
        <f>IFERROR(IF(AND(O409&lt;&gt;"",J409&lt;&gt;"",J409&lt;&gt;0),O409/J409,""),"")</f>
        <v/>
      </c>
      <c r="R409" s="27">
        <f>IFERROR(IF(AND(L409&lt;&gt;"",B409&lt;&gt;""),L409-B409,""),"")</f>
        <v/>
      </c>
      <c r="S409" s="19" t="n"/>
      <c r="T409" s="19" t="n"/>
      <c r="U409" s="17">
        <f>IF(O409&lt;&gt;"",408,"")</f>
        <v/>
      </c>
      <c r="V409" s="18">
        <f>IF(O409&lt;&gt;"",V408+O409,V408)</f>
        <v/>
      </c>
    </row>
    <row r="410">
      <c r="A410" s="8" t="n"/>
      <c r="B410" s="9" t="n"/>
      <c r="C410" s="8" t="n"/>
      <c r="D410" s="8" t="n"/>
      <c r="E410" s="8" t="n"/>
      <c r="F410" s="10" t="n"/>
      <c r="G410" s="10" t="n"/>
      <c r="H410" s="10" t="n"/>
      <c r="I410" s="11" t="n"/>
      <c r="J410" s="10">
        <f>IFERROR(IF(AND(F410&lt;&gt;"",G410&lt;&gt;"",I410&lt;&gt;""),ABS(F410-G410)*I410,""),"")</f>
        <v/>
      </c>
      <c r="K410" s="12">
        <f>IFERROR(IF(AND(F410&lt;&gt;"",G410&lt;&gt;"",H410&lt;&gt;""),ABS(H410-F410)/ABS(F410-G410),""),"")</f>
        <v/>
      </c>
      <c r="L410" s="9" t="n"/>
      <c r="M410" s="10" t="n"/>
      <c r="N410" s="10" t="n"/>
      <c r="O410" s="13">
        <f>IFERROR(IF(AND(M410&lt;&gt;"",F410&lt;&gt;"",I410&lt;&gt;""),IF(D410="Long",(M410-F410)*I410-IF(N410&lt;&gt;"",N410,0),IF(D410="Short",(F410-M410)*I410-IF(N410&lt;&gt;"",N410,0),"")),""),"")</f>
        <v/>
      </c>
      <c r="P410" s="14">
        <f>IFERROR(IF(AND(O410&lt;&gt;"",F410&lt;&gt;"",I410&lt;&gt;""),O410/(F410*I410),""),"")</f>
        <v/>
      </c>
      <c r="Q410" s="15">
        <f>IFERROR(IF(AND(O410&lt;&gt;"",J410&lt;&gt;"",J410&lt;&gt;0),O410/J410,""),"")</f>
        <v/>
      </c>
      <c r="R410" s="16">
        <f>IFERROR(IF(AND(L410&lt;&gt;"",B410&lt;&gt;""),L410-B410,""),"")</f>
        <v/>
      </c>
      <c r="S410" s="8" t="n"/>
      <c r="T410" s="8" t="n"/>
      <c r="U410" s="17">
        <f>IF(O410&lt;&gt;"",409,"")</f>
        <v/>
      </c>
      <c r="V410" s="18">
        <f>IF(O410&lt;&gt;"",V409+O410,V409)</f>
        <v/>
      </c>
    </row>
    <row r="411">
      <c r="A411" s="19" t="n"/>
      <c r="B411" s="20" t="n"/>
      <c r="C411" s="19" t="n"/>
      <c r="D411" s="19" t="n"/>
      <c r="E411" s="19" t="n"/>
      <c r="F411" s="21" t="n"/>
      <c r="G411" s="21" t="n"/>
      <c r="H411" s="21" t="n"/>
      <c r="I411" s="22" t="n"/>
      <c r="J411" s="21">
        <f>IFERROR(IF(AND(F411&lt;&gt;"",G411&lt;&gt;"",I411&lt;&gt;""),ABS(F411-G411)*I411,""),"")</f>
        <v/>
      </c>
      <c r="K411" s="23">
        <f>IFERROR(IF(AND(F411&lt;&gt;"",G411&lt;&gt;"",H411&lt;&gt;""),ABS(H411-F411)/ABS(F411-G411),""),"")</f>
        <v/>
      </c>
      <c r="L411" s="20" t="n"/>
      <c r="M411" s="21" t="n"/>
      <c r="N411" s="21" t="n"/>
      <c r="O411" s="24">
        <f>IFERROR(IF(AND(M411&lt;&gt;"",F411&lt;&gt;"",I411&lt;&gt;""),IF(D411="Long",(M411-F411)*I411-IF(N411&lt;&gt;"",N411,0),IF(D411="Short",(F411-M411)*I411-IF(N411&lt;&gt;"",N411,0),"")),""),"")</f>
        <v/>
      </c>
      <c r="P411" s="25">
        <f>IFERROR(IF(AND(O411&lt;&gt;"",F411&lt;&gt;"",I411&lt;&gt;""),O411/(F411*I411),""),"")</f>
        <v/>
      </c>
      <c r="Q411" s="26">
        <f>IFERROR(IF(AND(O411&lt;&gt;"",J411&lt;&gt;"",J411&lt;&gt;0),O411/J411,""),"")</f>
        <v/>
      </c>
      <c r="R411" s="27">
        <f>IFERROR(IF(AND(L411&lt;&gt;"",B411&lt;&gt;""),L411-B411,""),"")</f>
        <v/>
      </c>
      <c r="S411" s="19" t="n"/>
      <c r="T411" s="19" t="n"/>
      <c r="U411" s="17">
        <f>IF(O411&lt;&gt;"",410,"")</f>
        <v/>
      </c>
      <c r="V411" s="18">
        <f>IF(O411&lt;&gt;"",V410+O411,V410)</f>
        <v/>
      </c>
    </row>
    <row r="412">
      <c r="A412" s="8" t="n"/>
      <c r="B412" s="9" t="n"/>
      <c r="C412" s="8" t="n"/>
      <c r="D412" s="8" t="n"/>
      <c r="E412" s="8" t="n"/>
      <c r="F412" s="10" t="n"/>
      <c r="G412" s="10" t="n"/>
      <c r="H412" s="10" t="n"/>
      <c r="I412" s="11" t="n"/>
      <c r="J412" s="10">
        <f>IFERROR(IF(AND(F412&lt;&gt;"",G412&lt;&gt;"",I412&lt;&gt;""),ABS(F412-G412)*I412,""),"")</f>
        <v/>
      </c>
      <c r="K412" s="12">
        <f>IFERROR(IF(AND(F412&lt;&gt;"",G412&lt;&gt;"",H412&lt;&gt;""),ABS(H412-F412)/ABS(F412-G412),""),"")</f>
        <v/>
      </c>
      <c r="L412" s="9" t="n"/>
      <c r="M412" s="10" t="n"/>
      <c r="N412" s="10" t="n"/>
      <c r="O412" s="13">
        <f>IFERROR(IF(AND(M412&lt;&gt;"",F412&lt;&gt;"",I412&lt;&gt;""),IF(D412="Long",(M412-F412)*I412-IF(N412&lt;&gt;"",N412,0),IF(D412="Short",(F412-M412)*I412-IF(N412&lt;&gt;"",N412,0),"")),""),"")</f>
        <v/>
      </c>
      <c r="P412" s="14">
        <f>IFERROR(IF(AND(O412&lt;&gt;"",F412&lt;&gt;"",I412&lt;&gt;""),O412/(F412*I412),""),"")</f>
        <v/>
      </c>
      <c r="Q412" s="15">
        <f>IFERROR(IF(AND(O412&lt;&gt;"",J412&lt;&gt;"",J412&lt;&gt;0),O412/J412,""),"")</f>
        <v/>
      </c>
      <c r="R412" s="16">
        <f>IFERROR(IF(AND(L412&lt;&gt;"",B412&lt;&gt;""),L412-B412,""),"")</f>
        <v/>
      </c>
      <c r="S412" s="8" t="n"/>
      <c r="T412" s="8" t="n"/>
      <c r="U412" s="17">
        <f>IF(O412&lt;&gt;"",411,"")</f>
        <v/>
      </c>
      <c r="V412" s="18">
        <f>IF(O412&lt;&gt;"",V411+O412,V411)</f>
        <v/>
      </c>
    </row>
    <row r="413">
      <c r="A413" s="19" t="n"/>
      <c r="B413" s="20" t="n"/>
      <c r="C413" s="19" t="n"/>
      <c r="D413" s="19" t="n"/>
      <c r="E413" s="19" t="n"/>
      <c r="F413" s="21" t="n"/>
      <c r="G413" s="21" t="n"/>
      <c r="H413" s="21" t="n"/>
      <c r="I413" s="22" t="n"/>
      <c r="J413" s="21">
        <f>IFERROR(IF(AND(F413&lt;&gt;"",G413&lt;&gt;"",I413&lt;&gt;""),ABS(F413-G413)*I413,""),"")</f>
        <v/>
      </c>
      <c r="K413" s="23">
        <f>IFERROR(IF(AND(F413&lt;&gt;"",G413&lt;&gt;"",H413&lt;&gt;""),ABS(H413-F413)/ABS(F413-G413),""),"")</f>
        <v/>
      </c>
      <c r="L413" s="20" t="n"/>
      <c r="M413" s="21" t="n"/>
      <c r="N413" s="21" t="n"/>
      <c r="O413" s="24">
        <f>IFERROR(IF(AND(M413&lt;&gt;"",F413&lt;&gt;"",I413&lt;&gt;""),IF(D413="Long",(M413-F413)*I413-IF(N413&lt;&gt;"",N413,0),IF(D413="Short",(F413-M413)*I413-IF(N413&lt;&gt;"",N413,0),"")),""),"")</f>
        <v/>
      </c>
      <c r="P413" s="25">
        <f>IFERROR(IF(AND(O413&lt;&gt;"",F413&lt;&gt;"",I413&lt;&gt;""),O413/(F413*I413),""),"")</f>
        <v/>
      </c>
      <c r="Q413" s="26">
        <f>IFERROR(IF(AND(O413&lt;&gt;"",J413&lt;&gt;"",J413&lt;&gt;0),O413/J413,""),"")</f>
        <v/>
      </c>
      <c r="R413" s="27">
        <f>IFERROR(IF(AND(L413&lt;&gt;"",B413&lt;&gt;""),L413-B413,""),"")</f>
        <v/>
      </c>
      <c r="S413" s="19" t="n"/>
      <c r="T413" s="19" t="n"/>
      <c r="U413" s="17">
        <f>IF(O413&lt;&gt;"",412,"")</f>
        <v/>
      </c>
      <c r="V413" s="18">
        <f>IF(O413&lt;&gt;"",V412+O413,V412)</f>
        <v/>
      </c>
    </row>
    <row r="414">
      <c r="A414" s="8" t="n"/>
      <c r="B414" s="9" t="n"/>
      <c r="C414" s="8" t="n"/>
      <c r="D414" s="8" t="n"/>
      <c r="E414" s="8" t="n"/>
      <c r="F414" s="10" t="n"/>
      <c r="G414" s="10" t="n"/>
      <c r="H414" s="10" t="n"/>
      <c r="I414" s="11" t="n"/>
      <c r="J414" s="10">
        <f>IFERROR(IF(AND(F414&lt;&gt;"",G414&lt;&gt;"",I414&lt;&gt;""),ABS(F414-G414)*I414,""),"")</f>
        <v/>
      </c>
      <c r="K414" s="12">
        <f>IFERROR(IF(AND(F414&lt;&gt;"",G414&lt;&gt;"",H414&lt;&gt;""),ABS(H414-F414)/ABS(F414-G414),""),"")</f>
        <v/>
      </c>
      <c r="L414" s="9" t="n"/>
      <c r="M414" s="10" t="n"/>
      <c r="N414" s="10" t="n"/>
      <c r="O414" s="13">
        <f>IFERROR(IF(AND(M414&lt;&gt;"",F414&lt;&gt;"",I414&lt;&gt;""),IF(D414="Long",(M414-F414)*I414-IF(N414&lt;&gt;"",N414,0),IF(D414="Short",(F414-M414)*I414-IF(N414&lt;&gt;"",N414,0),"")),""),"")</f>
        <v/>
      </c>
      <c r="P414" s="14">
        <f>IFERROR(IF(AND(O414&lt;&gt;"",F414&lt;&gt;"",I414&lt;&gt;""),O414/(F414*I414),""),"")</f>
        <v/>
      </c>
      <c r="Q414" s="15">
        <f>IFERROR(IF(AND(O414&lt;&gt;"",J414&lt;&gt;"",J414&lt;&gt;0),O414/J414,""),"")</f>
        <v/>
      </c>
      <c r="R414" s="16">
        <f>IFERROR(IF(AND(L414&lt;&gt;"",B414&lt;&gt;""),L414-B414,""),"")</f>
        <v/>
      </c>
      <c r="S414" s="8" t="n"/>
      <c r="T414" s="8" t="n"/>
      <c r="U414" s="17">
        <f>IF(O414&lt;&gt;"",413,"")</f>
        <v/>
      </c>
      <c r="V414" s="18">
        <f>IF(O414&lt;&gt;"",V413+O414,V413)</f>
        <v/>
      </c>
    </row>
    <row r="415">
      <c r="A415" s="19" t="n"/>
      <c r="B415" s="20" t="n"/>
      <c r="C415" s="19" t="n"/>
      <c r="D415" s="19" t="n"/>
      <c r="E415" s="19" t="n"/>
      <c r="F415" s="21" t="n"/>
      <c r="G415" s="21" t="n"/>
      <c r="H415" s="21" t="n"/>
      <c r="I415" s="22" t="n"/>
      <c r="J415" s="21">
        <f>IFERROR(IF(AND(F415&lt;&gt;"",G415&lt;&gt;"",I415&lt;&gt;""),ABS(F415-G415)*I415,""),"")</f>
        <v/>
      </c>
      <c r="K415" s="23">
        <f>IFERROR(IF(AND(F415&lt;&gt;"",G415&lt;&gt;"",H415&lt;&gt;""),ABS(H415-F415)/ABS(F415-G415),""),"")</f>
        <v/>
      </c>
      <c r="L415" s="20" t="n"/>
      <c r="M415" s="21" t="n"/>
      <c r="N415" s="21" t="n"/>
      <c r="O415" s="24">
        <f>IFERROR(IF(AND(M415&lt;&gt;"",F415&lt;&gt;"",I415&lt;&gt;""),IF(D415="Long",(M415-F415)*I415-IF(N415&lt;&gt;"",N415,0),IF(D415="Short",(F415-M415)*I415-IF(N415&lt;&gt;"",N415,0),"")),""),"")</f>
        <v/>
      </c>
      <c r="P415" s="25">
        <f>IFERROR(IF(AND(O415&lt;&gt;"",F415&lt;&gt;"",I415&lt;&gt;""),O415/(F415*I415),""),"")</f>
        <v/>
      </c>
      <c r="Q415" s="26">
        <f>IFERROR(IF(AND(O415&lt;&gt;"",J415&lt;&gt;"",J415&lt;&gt;0),O415/J415,""),"")</f>
        <v/>
      </c>
      <c r="R415" s="27">
        <f>IFERROR(IF(AND(L415&lt;&gt;"",B415&lt;&gt;""),L415-B415,""),"")</f>
        <v/>
      </c>
      <c r="S415" s="19" t="n"/>
      <c r="T415" s="19" t="n"/>
      <c r="U415" s="17">
        <f>IF(O415&lt;&gt;"",414,"")</f>
        <v/>
      </c>
      <c r="V415" s="18">
        <f>IF(O415&lt;&gt;"",V414+O415,V414)</f>
        <v/>
      </c>
    </row>
    <row r="416">
      <c r="A416" s="8" t="n"/>
      <c r="B416" s="9" t="n"/>
      <c r="C416" s="8" t="n"/>
      <c r="D416" s="8" t="n"/>
      <c r="E416" s="8" t="n"/>
      <c r="F416" s="10" t="n"/>
      <c r="G416" s="10" t="n"/>
      <c r="H416" s="10" t="n"/>
      <c r="I416" s="11" t="n"/>
      <c r="J416" s="10">
        <f>IFERROR(IF(AND(F416&lt;&gt;"",G416&lt;&gt;"",I416&lt;&gt;""),ABS(F416-G416)*I416,""),"")</f>
        <v/>
      </c>
      <c r="K416" s="12">
        <f>IFERROR(IF(AND(F416&lt;&gt;"",G416&lt;&gt;"",H416&lt;&gt;""),ABS(H416-F416)/ABS(F416-G416),""),"")</f>
        <v/>
      </c>
      <c r="L416" s="9" t="n"/>
      <c r="M416" s="10" t="n"/>
      <c r="N416" s="10" t="n"/>
      <c r="O416" s="13">
        <f>IFERROR(IF(AND(M416&lt;&gt;"",F416&lt;&gt;"",I416&lt;&gt;""),IF(D416="Long",(M416-F416)*I416-IF(N416&lt;&gt;"",N416,0),IF(D416="Short",(F416-M416)*I416-IF(N416&lt;&gt;"",N416,0),"")),""),"")</f>
        <v/>
      </c>
      <c r="P416" s="14">
        <f>IFERROR(IF(AND(O416&lt;&gt;"",F416&lt;&gt;"",I416&lt;&gt;""),O416/(F416*I416),""),"")</f>
        <v/>
      </c>
      <c r="Q416" s="15">
        <f>IFERROR(IF(AND(O416&lt;&gt;"",J416&lt;&gt;"",J416&lt;&gt;0),O416/J416,""),"")</f>
        <v/>
      </c>
      <c r="R416" s="16">
        <f>IFERROR(IF(AND(L416&lt;&gt;"",B416&lt;&gt;""),L416-B416,""),"")</f>
        <v/>
      </c>
      <c r="S416" s="8" t="n"/>
      <c r="T416" s="8" t="n"/>
      <c r="U416" s="17">
        <f>IF(O416&lt;&gt;"",415,"")</f>
        <v/>
      </c>
      <c r="V416" s="18">
        <f>IF(O416&lt;&gt;"",V415+O416,V415)</f>
        <v/>
      </c>
    </row>
    <row r="417">
      <c r="A417" s="19" t="n"/>
      <c r="B417" s="20" t="n"/>
      <c r="C417" s="19" t="n"/>
      <c r="D417" s="19" t="n"/>
      <c r="E417" s="19" t="n"/>
      <c r="F417" s="21" t="n"/>
      <c r="G417" s="21" t="n"/>
      <c r="H417" s="21" t="n"/>
      <c r="I417" s="22" t="n"/>
      <c r="J417" s="21">
        <f>IFERROR(IF(AND(F417&lt;&gt;"",G417&lt;&gt;"",I417&lt;&gt;""),ABS(F417-G417)*I417,""),"")</f>
        <v/>
      </c>
      <c r="K417" s="23">
        <f>IFERROR(IF(AND(F417&lt;&gt;"",G417&lt;&gt;"",H417&lt;&gt;""),ABS(H417-F417)/ABS(F417-G417),""),"")</f>
        <v/>
      </c>
      <c r="L417" s="20" t="n"/>
      <c r="M417" s="21" t="n"/>
      <c r="N417" s="21" t="n"/>
      <c r="O417" s="24">
        <f>IFERROR(IF(AND(M417&lt;&gt;"",F417&lt;&gt;"",I417&lt;&gt;""),IF(D417="Long",(M417-F417)*I417-IF(N417&lt;&gt;"",N417,0),IF(D417="Short",(F417-M417)*I417-IF(N417&lt;&gt;"",N417,0),"")),""),"")</f>
        <v/>
      </c>
      <c r="P417" s="25">
        <f>IFERROR(IF(AND(O417&lt;&gt;"",F417&lt;&gt;"",I417&lt;&gt;""),O417/(F417*I417),""),"")</f>
        <v/>
      </c>
      <c r="Q417" s="26">
        <f>IFERROR(IF(AND(O417&lt;&gt;"",J417&lt;&gt;"",J417&lt;&gt;0),O417/J417,""),"")</f>
        <v/>
      </c>
      <c r="R417" s="27">
        <f>IFERROR(IF(AND(L417&lt;&gt;"",B417&lt;&gt;""),L417-B417,""),"")</f>
        <v/>
      </c>
      <c r="S417" s="19" t="n"/>
      <c r="T417" s="19" t="n"/>
      <c r="U417" s="17">
        <f>IF(O417&lt;&gt;"",416,"")</f>
        <v/>
      </c>
      <c r="V417" s="18">
        <f>IF(O417&lt;&gt;"",V416+O417,V416)</f>
        <v/>
      </c>
    </row>
    <row r="418">
      <c r="A418" s="8" t="n"/>
      <c r="B418" s="9" t="n"/>
      <c r="C418" s="8" t="n"/>
      <c r="D418" s="8" t="n"/>
      <c r="E418" s="8" t="n"/>
      <c r="F418" s="10" t="n"/>
      <c r="G418" s="10" t="n"/>
      <c r="H418" s="10" t="n"/>
      <c r="I418" s="11" t="n"/>
      <c r="J418" s="10">
        <f>IFERROR(IF(AND(F418&lt;&gt;"",G418&lt;&gt;"",I418&lt;&gt;""),ABS(F418-G418)*I418,""),"")</f>
        <v/>
      </c>
      <c r="K418" s="12">
        <f>IFERROR(IF(AND(F418&lt;&gt;"",G418&lt;&gt;"",H418&lt;&gt;""),ABS(H418-F418)/ABS(F418-G418),""),"")</f>
        <v/>
      </c>
      <c r="L418" s="9" t="n"/>
      <c r="M418" s="10" t="n"/>
      <c r="N418" s="10" t="n"/>
      <c r="O418" s="13">
        <f>IFERROR(IF(AND(M418&lt;&gt;"",F418&lt;&gt;"",I418&lt;&gt;""),IF(D418="Long",(M418-F418)*I418-IF(N418&lt;&gt;"",N418,0),IF(D418="Short",(F418-M418)*I418-IF(N418&lt;&gt;"",N418,0),"")),""),"")</f>
        <v/>
      </c>
      <c r="P418" s="14">
        <f>IFERROR(IF(AND(O418&lt;&gt;"",F418&lt;&gt;"",I418&lt;&gt;""),O418/(F418*I418),""),"")</f>
        <v/>
      </c>
      <c r="Q418" s="15">
        <f>IFERROR(IF(AND(O418&lt;&gt;"",J418&lt;&gt;"",J418&lt;&gt;0),O418/J418,""),"")</f>
        <v/>
      </c>
      <c r="R418" s="16">
        <f>IFERROR(IF(AND(L418&lt;&gt;"",B418&lt;&gt;""),L418-B418,""),"")</f>
        <v/>
      </c>
      <c r="S418" s="8" t="n"/>
      <c r="T418" s="8" t="n"/>
      <c r="U418" s="17">
        <f>IF(O418&lt;&gt;"",417,"")</f>
        <v/>
      </c>
      <c r="V418" s="18">
        <f>IF(O418&lt;&gt;"",V417+O418,V417)</f>
        <v/>
      </c>
    </row>
    <row r="419">
      <c r="A419" s="19" t="n"/>
      <c r="B419" s="20" t="n"/>
      <c r="C419" s="19" t="n"/>
      <c r="D419" s="19" t="n"/>
      <c r="E419" s="19" t="n"/>
      <c r="F419" s="21" t="n"/>
      <c r="G419" s="21" t="n"/>
      <c r="H419" s="21" t="n"/>
      <c r="I419" s="22" t="n"/>
      <c r="J419" s="21">
        <f>IFERROR(IF(AND(F419&lt;&gt;"",G419&lt;&gt;"",I419&lt;&gt;""),ABS(F419-G419)*I419,""),"")</f>
        <v/>
      </c>
      <c r="K419" s="23">
        <f>IFERROR(IF(AND(F419&lt;&gt;"",G419&lt;&gt;"",H419&lt;&gt;""),ABS(H419-F419)/ABS(F419-G419),""),"")</f>
        <v/>
      </c>
      <c r="L419" s="20" t="n"/>
      <c r="M419" s="21" t="n"/>
      <c r="N419" s="21" t="n"/>
      <c r="O419" s="24">
        <f>IFERROR(IF(AND(M419&lt;&gt;"",F419&lt;&gt;"",I419&lt;&gt;""),IF(D419="Long",(M419-F419)*I419-IF(N419&lt;&gt;"",N419,0),IF(D419="Short",(F419-M419)*I419-IF(N419&lt;&gt;"",N419,0),"")),""),"")</f>
        <v/>
      </c>
      <c r="P419" s="25">
        <f>IFERROR(IF(AND(O419&lt;&gt;"",F419&lt;&gt;"",I419&lt;&gt;""),O419/(F419*I419),""),"")</f>
        <v/>
      </c>
      <c r="Q419" s="26">
        <f>IFERROR(IF(AND(O419&lt;&gt;"",J419&lt;&gt;"",J419&lt;&gt;0),O419/J419,""),"")</f>
        <v/>
      </c>
      <c r="R419" s="27">
        <f>IFERROR(IF(AND(L419&lt;&gt;"",B419&lt;&gt;""),L419-B419,""),"")</f>
        <v/>
      </c>
      <c r="S419" s="19" t="n"/>
      <c r="T419" s="19" t="n"/>
      <c r="U419" s="17">
        <f>IF(O419&lt;&gt;"",418,"")</f>
        <v/>
      </c>
      <c r="V419" s="18">
        <f>IF(O419&lt;&gt;"",V418+O419,V418)</f>
        <v/>
      </c>
    </row>
    <row r="420">
      <c r="A420" s="8" t="n"/>
      <c r="B420" s="9" t="n"/>
      <c r="C420" s="8" t="n"/>
      <c r="D420" s="8" t="n"/>
      <c r="E420" s="8" t="n"/>
      <c r="F420" s="10" t="n"/>
      <c r="G420" s="10" t="n"/>
      <c r="H420" s="10" t="n"/>
      <c r="I420" s="11" t="n"/>
      <c r="J420" s="10">
        <f>IFERROR(IF(AND(F420&lt;&gt;"",G420&lt;&gt;"",I420&lt;&gt;""),ABS(F420-G420)*I420,""),"")</f>
        <v/>
      </c>
      <c r="K420" s="12">
        <f>IFERROR(IF(AND(F420&lt;&gt;"",G420&lt;&gt;"",H420&lt;&gt;""),ABS(H420-F420)/ABS(F420-G420),""),"")</f>
        <v/>
      </c>
      <c r="L420" s="9" t="n"/>
      <c r="M420" s="10" t="n"/>
      <c r="N420" s="10" t="n"/>
      <c r="O420" s="13">
        <f>IFERROR(IF(AND(M420&lt;&gt;"",F420&lt;&gt;"",I420&lt;&gt;""),IF(D420="Long",(M420-F420)*I420-IF(N420&lt;&gt;"",N420,0),IF(D420="Short",(F420-M420)*I420-IF(N420&lt;&gt;"",N420,0),"")),""),"")</f>
        <v/>
      </c>
      <c r="P420" s="14">
        <f>IFERROR(IF(AND(O420&lt;&gt;"",F420&lt;&gt;"",I420&lt;&gt;""),O420/(F420*I420),""),"")</f>
        <v/>
      </c>
      <c r="Q420" s="15">
        <f>IFERROR(IF(AND(O420&lt;&gt;"",J420&lt;&gt;"",J420&lt;&gt;0),O420/J420,""),"")</f>
        <v/>
      </c>
      <c r="R420" s="16">
        <f>IFERROR(IF(AND(L420&lt;&gt;"",B420&lt;&gt;""),L420-B420,""),"")</f>
        <v/>
      </c>
      <c r="S420" s="8" t="n"/>
      <c r="T420" s="8" t="n"/>
      <c r="U420" s="17">
        <f>IF(O420&lt;&gt;"",419,"")</f>
        <v/>
      </c>
      <c r="V420" s="18">
        <f>IF(O420&lt;&gt;"",V419+O420,V419)</f>
        <v/>
      </c>
    </row>
    <row r="421">
      <c r="A421" s="19" t="n"/>
      <c r="B421" s="20" t="n"/>
      <c r="C421" s="19" t="n"/>
      <c r="D421" s="19" t="n"/>
      <c r="E421" s="19" t="n"/>
      <c r="F421" s="21" t="n"/>
      <c r="G421" s="21" t="n"/>
      <c r="H421" s="21" t="n"/>
      <c r="I421" s="22" t="n"/>
      <c r="J421" s="21">
        <f>IFERROR(IF(AND(F421&lt;&gt;"",G421&lt;&gt;"",I421&lt;&gt;""),ABS(F421-G421)*I421,""),"")</f>
        <v/>
      </c>
      <c r="K421" s="23">
        <f>IFERROR(IF(AND(F421&lt;&gt;"",G421&lt;&gt;"",H421&lt;&gt;""),ABS(H421-F421)/ABS(F421-G421),""),"")</f>
        <v/>
      </c>
      <c r="L421" s="20" t="n"/>
      <c r="M421" s="21" t="n"/>
      <c r="N421" s="21" t="n"/>
      <c r="O421" s="24">
        <f>IFERROR(IF(AND(M421&lt;&gt;"",F421&lt;&gt;"",I421&lt;&gt;""),IF(D421="Long",(M421-F421)*I421-IF(N421&lt;&gt;"",N421,0),IF(D421="Short",(F421-M421)*I421-IF(N421&lt;&gt;"",N421,0),"")),""),"")</f>
        <v/>
      </c>
      <c r="P421" s="25">
        <f>IFERROR(IF(AND(O421&lt;&gt;"",F421&lt;&gt;"",I421&lt;&gt;""),O421/(F421*I421),""),"")</f>
        <v/>
      </c>
      <c r="Q421" s="26">
        <f>IFERROR(IF(AND(O421&lt;&gt;"",J421&lt;&gt;"",J421&lt;&gt;0),O421/J421,""),"")</f>
        <v/>
      </c>
      <c r="R421" s="27">
        <f>IFERROR(IF(AND(L421&lt;&gt;"",B421&lt;&gt;""),L421-B421,""),"")</f>
        <v/>
      </c>
      <c r="S421" s="19" t="n"/>
      <c r="T421" s="19" t="n"/>
      <c r="U421" s="17">
        <f>IF(O421&lt;&gt;"",420,"")</f>
        <v/>
      </c>
      <c r="V421" s="18">
        <f>IF(O421&lt;&gt;"",V420+O421,V420)</f>
        <v/>
      </c>
    </row>
    <row r="422">
      <c r="A422" s="8" t="n"/>
      <c r="B422" s="9" t="n"/>
      <c r="C422" s="8" t="n"/>
      <c r="D422" s="8" t="n"/>
      <c r="E422" s="8" t="n"/>
      <c r="F422" s="10" t="n"/>
      <c r="G422" s="10" t="n"/>
      <c r="H422" s="10" t="n"/>
      <c r="I422" s="11" t="n"/>
      <c r="J422" s="10">
        <f>IFERROR(IF(AND(F422&lt;&gt;"",G422&lt;&gt;"",I422&lt;&gt;""),ABS(F422-G422)*I422,""),"")</f>
        <v/>
      </c>
      <c r="K422" s="12">
        <f>IFERROR(IF(AND(F422&lt;&gt;"",G422&lt;&gt;"",H422&lt;&gt;""),ABS(H422-F422)/ABS(F422-G422),""),"")</f>
        <v/>
      </c>
      <c r="L422" s="9" t="n"/>
      <c r="M422" s="10" t="n"/>
      <c r="N422" s="10" t="n"/>
      <c r="O422" s="13">
        <f>IFERROR(IF(AND(M422&lt;&gt;"",F422&lt;&gt;"",I422&lt;&gt;""),IF(D422="Long",(M422-F422)*I422-IF(N422&lt;&gt;"",N422,0),IF(D422="Short",(F422-M422)*I422-IF(N422&lt;&gt;"",N422,0),"")),""),"")</f>
        <v/>
      </c>
      <c r="P422" s="14">
        <f>IFERROR(IF(AND(O422&lt;&gt;"",F422&lt;&gt;"",I422&lt;&gt;""),O422/(F422*I422),""),"")</f>
        <v/>
      </c>
      <c r="Q422" s="15">
        <f>IFERROR(IF(AND(O422&lt;&gt;"",J422&lt;&gt;"",J422&lt;&gt;0),O422/J422,""),"")</f>
        <v/>
      </c>
      <c r="R422" s="16">
        <f>IFERROR(IF(AND(L422&lt;&gt;"",B422&lt;&gt;""),L422-B422,""),"")</f>
        <v/>
      </c>
      <c r="S422" s="8" t="n"/>
      <c r="T422" s="8" t="n"/>
      <c r="U422" s="17">
        <f>IF(O422&lt;&gt;"",421,"")</f>
        <v/>
      </c>
      <c r="V422" s="18">
        <f>IF(O422&lt;&gt;"",V421+O422,V421)</f>
        <v/>
      </c>
    </row>
    <row r="423">
      <c r="A423" s="19" t="n"/>
      <c r="B423" s="20" t="n"/>
      <c r="C423" s="19" t="n"/>
      <c r="D423" s="19" t="n"/>
      <c r="E423" s="19" t="n"/>
      <c r="F423" s="21" t="n"/>
      <c r="G423" s="21" t="n"/>
      <c r="H423" s="21" t="n"/>
      <c r="I423" s="22" t="n"/>
      <c r="J423" s="21">
        <f>IFERROR(IF(AND(F423&lt;&gt;"",G423&lt;&gt;"",I423&lt;&gt;""),ABS(F423-G423)*I423,""),"")</f>
        <v/>
      </c>
      <c r="K423" s="23">
        <f>IFERROR(IF(AND(F423&lt;&gt;"",G423&lt;&gt;"",H423&lt;&gt;""),ABS(H423-F423)/ABS(F423-G423),""),"")</f>
        <v/>
      </c>
      <c r="L423" s="20" t="n"/>
      <c r="M423" s="21" t="n"/>
      <c r="N423" s="21" t="n"/>
      <c r="O423" s="24">
        <f>IFERROR(IF(AND(M423&lt;&gt;"",F423&lt;&gt;"",I423&lt;&gt;""),IF(D423="Long",(M423-F423)*I423-IF(N423&lt;&gt;"",N423,0),IF(D423="Short",(F423-M423)*I423-IF(N423&lt;&gt;"",N423,0),"")),""),"")</f>
        <v/>
      </c>
      <c r="P423" s="25">
        <f>IFERROR(IF(AND(O423&lt;&gt;"",F423&lt;&gt;"",I423&lt;&gt;""),O423/(F423*I423),""),"")</f>
        <v/>
      </c>
      <c r="Q423" s="26">
        <f>IFERROR(IF(AND(O423&lt;&gt;"",J423&lt;&gt;"",J423&lt;&gt;0),O423/J423,""),"")</f>
        <v/>
      </c>
      <c r="R423" s="27">
        <f>IFERROR(IF(AND(L423&lt;&gt;"",B423&lt;&gt;""),L423-B423,""),"")</f>
        <v/>
      </c>
      <c r="S423" s="19" t="n"/>
      <c r="T423" s="19" t="n"/>
      <c r="U423" s="17">
        <f>IF(O423&lt;&gt;"",422,"")</f>
        <v/>
      </c>
      <c r="V423" s="18">
        <f>IF(O423&lt;&gt;"",V422+O423,V422)</f>
        <v/>
      </c>
    </row>
    <row r="424">
      <c r="A424" s="8" t="n"/>
      <c r="B424" s="9" t="n"/>
      <c r="C424" s="8" t="n"/>
      <c r="D424" s="8" t="n"/>
      <c r="E424" s="8" t="n"/>
      <c r="F424" s="10" t="n"/>
      <c r="G424" s="10" t="n"/>
      <c r="H424" s="10" t="n"/>
      <c r="I424" s="11" t="n"/>
      <c r="J424" s="10">
        <f>IFERROR(IF(AND(F424&lt;&gt;"",G424&lt;&gt;"",I424&lt;&gt;""),ABS(F424-G424)*I424,""),"")</f>
        <v/>
      </c>
      <c r="K424" s="12">
        <f>IFERROR(IF(AND(F424&lt;&gt;"",G424&lt;&gt;"",H424&lt;&gt;""),ABS(H424-F424)/ABS(F424-G424),""),"")</f>
        <v/>
      </c>
      <c r="L424" s="9" t="n"/>
      <c r="M424" s="10" t="n"/>
      <c r="N424" s="10" t="n"/>
      <c r="O424" s="13">
        <f>IFERROR(IF(AND(M424&lt;&gt;"",F424&lt;&gt;"",I424&lt;&gt;""),IF(D424="Long",(M424-F424)*I424-IF(N424&lt;&gt;"",N424,0),IF(D424="Short",(F424-M424)*I424-IF(N424&lt;&gt;"",N424,0),"")),""),"")</f>
        <v/>
      </c>
      <c r="P424" s="14">
        <f>IFERROR(IF(AND(O424&lt;&gt;"",F424&lt;&gt;"",I424&lt;&gt;""),O424/(F424*I424),""),"")</f>
        <v/>
      </c>
      <c r="Q424" s="15">
        <f>IFERROR(IF(AND(O424&lt;&gt;"",J424&lt;&gt;"",J424&lt;&gt;0),O424/J424,""),"")</f>
        <v/>
      </c>
      <c r="R424" s="16">
        <f>IFERROR(IF(AND(L424&lt;&gt;"",B424&lt;&gt;""),L424-B424,""),"")</f>
        <v/>
      </c>
      <c r="S424" s="8" t="n"/>
      <c r="T424" s="8" t="n"/>
      <c r="U424" s="17">
        <f>IF(O424&lt;&gt;"",423,"")</f>
        <v/>
      </c>
      <c r="V424" s="18">
        <f>IF(O424&lt;&gt;"",V423+O424,V423)</f>
        <v/>
      </c>
    </row>
    <row r="425">
      <c r="A425" s="19" t="n"/>
      <c r="B425" s="20" t="n"/>
      <c r="C425" s="19" t="n"/>
      <c r="D425" s="19" t="n"/>
      <c r="E425" s="19" t="n"/>
      <c r="F425" s="21" t="n"/>
      <c r="G425" s="21" t="n"/>
      <c r="H425" s="21" t="n"/>
      <c r="I425" s="22" t="n"/>
      <c r="J425" s="21">
        <f>IFERROR(IF(AND(F425&lt;&gt;"",G425&lt;&gt;"",I425&lt;&gt;""),ABS(F425-G425)*I425,""),"")</f>
        <v/>
      </c>
      <c r="K425" s="23">
        <f>IFERROR(IF(AND(F425&lt;&gt;"",G425&lt;&gt;"",H425&lt;&gt;""),ABS(H425-F425)/ABS(F425-G425),""),"")</f>
        <v/>
      </c>
      <c r="L425" s="20" t="n"/>
      <c r="M425" s="21" t="n"/>
      <c r="N425" s="21" t="n"/>
      <c r="O425" s="24">
        <f>IFERROR(IF(AND(M425&lt;&gt;"",F425&lt;&gt;"",I425&lt;&gt;""),IF(D425="Long",(M425-F425)*I425-IF(N425&lt;&gt;"",N425,0),IF(D425="Short",(F425-M425)*I425-IF(N425&lt;&gt;"",N425,0),"")),""),"")</f>
        <v/>
      </c>
      <c r="P425" s="25">
        <f>IFERROR(IF(AND(O425&lt;&gt;"",F425&lt;&gt;"",I425&lt;&gt;""),O425/(F425*I425),""),"")</f>
        <v/>
      </c>
      <c r="Q425" s="26">
        <f>IFERROR(IF(AND(O425&lt;&gt;"",J425&lt;&gt;"",J425&lt;&gt;0),O425/J425,""),"")</f>
        <v/>
      </c>
      <c r="R425" s="27">
        <f>IFERROR(IF(AND(L425&lt;&gt;"",B425&lt;&gt;""),L425-B425,""),"")</f>
        <v/>
      </c>
      <c r="S425" s="19" t="n"/>
      <c r="T425" s="19" t="n"/>
      <c r="U425" s="17">
        <f>IF(O425&lt;&gt;"",424,"")</f>
        <v/>
      </c>
      <c r="V425" s="18">
        <f>IF(O425&lt;&gt;"",V424+O425,V424)</f>
        <v/>
      </c>
    </row>
    <row r="426">
      <c r="A426" s="8" t="n"/>
      <c r="B426" s="9" t="n"/>
      <c r="C426" s="8" t="n"/>
      <c r="D426" s="8" t="n"/>
      <c r="E426" s="8" t="n"/>
      <c r="F426" s="10" t="n"/>
      <c r="G426" s="10" t="n"/>
      <c r="H426" s="10" t="n"/>
      <c r="I426" s="11" t="n"/>
      <c r="J426" s="10">
        <f>IFERROR(IF(AND(F426&lt;&gt;"",G426&lt;&gt;"",I426&lt;&gt;""),ABS(F426-G426)*I426,""),"")</f>
        <v/>
      </c>
      <c r="K426" s="12">
        <f>IFERROR(IF(AND(F426&lt;&gt;"",G426&lt;&gt;"",H426&lt;&gt;""),ABS(H426-F426)/ABS(F426-G426),""),"")</f>
        <v/>
      </c>
      <c r="L426" s="9" t="n"/>
      <c r="M426" s="10" t="n"/>
      <c r="N426" s="10" t="n"/>
      <c r="O426" s="13">
        <f>IFERROR(IF(AND(M426&lt;&gt;"",F426&lt;&gt;"",I426&lt;&gt;""),IF(D426="Long",(M426-F426)*I426-IF(N426&lt;&gt;"",N426,0),IF(D426="Short",(F426-M426)*I426-IF(N426&lt;&gt;"",N426,0),"")),""),"")</f>
        <v/>
      </c>
      <c r="P426" s="14">
        <f>IFERROR(IF(AND(O426&lt;&gt;"",F426&lt;&gt;"",I426&lt;&gt;""),O426/(F426*I426),""),"")</f>
        <v/>
      </c>
      <c r="Q426" s="15">
        <f>IFERROR(IF(AND(O426&lt;&gt;"",J426&lt;&gt;"",J426&lt;&gt;0),O426/J426,""),"")</f>
        <v/>
      </c>
      <c r="R426" s="16">
        <f>IFERROR(IF(AND(L426&lt;&gt;"",B426&lt;&gt;""),L426-B426,""),"")</f>
        <v/>
      </c>
      <c r="S426" s="8" t="n"/>
      <c r="T426" s="8" t="n"/>
      <c r="U426" s="17">
        <f>IF(O426&lt;&gt;"",425,"")</f>
        <v/>
      </c>
      <c r="V426" s="18">
        <f>IF(O426&lt;&gt;"",V425+O426,V425)</f>
        <v/>
      </c>
    </row>
    <row r="427">
      <c r="A427" s="19" t="n"/>
      <c r="B427" s="20" t="n"/>
      <c r="C427" s="19" t="n"/>
      <c r="D427" s="19" t="n"/>
      <c r="E427" s="19" t="n"/>
      <c r="F427" s="21" t="n"/>
      <c r="G427" s="21" t="n"/>
      <c r="H427" s="21" t="n"/>
      <c r="I427" s="22" t="n"/>
      <c r="J427" s="21">
        <f>IFERROR(IF(AND(F427&lt;&gt;"",G427&lt;&gt;"",I427&lt;&gt;""),ABS(F427-G427)*I427,""),"")</f>
        <v/>
      </c>
      <c r="K427" s="23">
        <f>IFERROR(IF(AND(F427&lt;&gt;"",G427&lt;&gt;"",H427&lt;&gt;""),ABS(H427-F427)/ABS(F427-G427),""),"")</f>
        <v/>
      </c>
      <c r="L427" s="20" t="n"/>
      <c r="M427" s="21" t="n"/>
      <c r="N427" s="21" t="n"/>
      <c r="O427" s="24">
        <f>IFERROR(IF(AND(M427&lt;&gt;"",F427&lt;&gt;"",I427&lt;&gt;""),IF(D427="Long",(M427-F427)*I427-IF(N427&lt;&gt;"",N427,0),IF(D427="Short",(F427-M427)*I427-IF(N427&lt;&gt;"",N427,0),"")),""),"")</f>
        <v/>
      </c>
      <c r="P427" s="25">
        <f>IFERROR(IF(AND(O427&lt;&gt;"",F427&lt;&gt;"",I427&lt;&gt;""),O427/(F427*I427),""),"")</f>
        <v/>
      </c>
      <c r="Q427" s="26">
        <f>IFERROR(IF(AND(O427&lt;&gt;"",J427&lt;&gt;"",J427&lt;&gt;0),O427/J427,""),"")</f>
        <v/>
      </c>
      <c r="R427" s="27">
        <f>IFERROR(IF(AND(L427&lt;&gt;"",B427&lt;&gt;""),L427-B427,""),"")</f>
        <v/>
      </c>
      <c r="S427" s="19" t="n"/>
      <c r="T427" s="19" t="n"/>
      <c r="U427" s="17">
        <f>IF(O427&lt;&gt;"",426,"")</f>
        <v/>
      </c>
      <c r="V427" s="18">
        <f>IF(O427&lt;&gt;"",V426+O427,V426)</f>
        <v/>
      </c>
    </row>
    <row r="428">
      <c r="A428" s="8" t="n"/>
      <c r="B428" s="9" t="n"/>
      <c r="C428" s="8" t="n"/>
      <c r="D428" s="8" t="n"/>
      <c r="E428" s="8" t="n"/>
      <c r="F428" s="10" t="n"/>
      <c r="G428" s="10" t="n"/>
      <c r="H428" s="10" t="n"/>
      <c r="I428" s="11" t="n"/>
      <c r="J428" s="10">
        <f>IFERROR(IF(AND(F428&lt;&gt;"",G428&lt;&gt;"",I428&lt;&gt;""),ABS(F428-G428)*I428,""),"")</f>
        <v/>
      </c>
      <c r="K428" s="12">
        <f>IFERROR(IF(AND(F428&lt;&gt;"",G428&lt;&gt;"",H428&lt;&gt;""),ABS(H428-F428)/ABS(F428-G428),""),"")</f>
        <v/>
      </c>
      <c r="L428" s="9" t="n"/>
      <c r="M428" s="10" t="n"/>
      <c r="N428" s="10" t="n"/>
      <c r="O428" s="13">
        <f>IFERROR(IF(AND(M428&lt;&gt;"",F428&lt;&gt;"",I428&lt;&gt;""),IF(D428="Long",(M428-F428)*I428-IF(N428&lt;&gt;"",N428,0),IF(D428="Short",(F428-M428)*I428-IF(N428&lt;&gt;"",N428,0),"")),""),"")</f>
        <v/>
      </c>
      <c r="P428" s="14">
        <f>IFERROR(IF(AND(O428&lt;&gt;"",F428&lt;&gt;"",I428&lt;&gt;""),O428/(F428*I428),""),"")</f>
        <v/>
      </c>
      <c r="Q428" s="15">
        <f>IFERROR(IF(AND(O428&lt;&gt;"",J428&lt;&gt;"",J428&lt;&gt;0),O428/J428,""),"")</f>
        <v/>
      </c>
      <c r="R428" s="16">
        <f>IFERROR(IF(AND(L428&lt;&gt;"",B428&lt;&gt;""),L428-B428,""),"")</f>
        <v/>
      </c>
      <c r="S428" s="8" t="n"/>
      <c r="T428" s="8" t="n"/>
      <c r="U428" s="17">
        <f>IF(O428&lt;&gt;"",427,"")</f>
        <v/>
      </c>
      <c r="V428" s="18">
        <f>IF(O428&lt;&gt;"",V427+O428,V427)</f>
        <v/>
      </c>
    </row>
    <row r="429">
      <c r="A429" s="19" t="n"/>
      <c r="B429" s="20" t="n"/>
      <c r="C429" s="19" t="n"/>
      <c r="D429" s="19" t="n"/>
      <c r="E429" s="19" t="n"/>
      <c r="F429" s="21" t="n"/>
      <c r="G429" s="21" t="n"/>
      <c r="H429" s="21" t="n"/>
      <c r="I429" s="22" t="n"/>
      <c r="J429" s="21">
        <f>IFERROR(IF(AND(F429&lt;&gt;"",G429&lt;&gt;"",I429&lt;&gt;""),ABS(F429-G429)*I429,""),"")</f>
        <v/>
      </c>
      <c r="K429" s="23">
        <f>IFERROR(IF(AND(F429&lt;&gt;"",G429&lt;&gt;"",H429&lt;&gt;""),ABS(H429-F429)/ABS(F429-G429),""),"")</f>
        <v/>
      </c>
      <c r="L429" s="20" t="n"/>
      <c r="M429" s="21" t="n"/>
      <c r="N429" s="21" t="n"/>
      <c r="O429" s="24">
        <f>IFERROR(IF(AND(M429&lt;&gt;"",F429&lt;&gt;"",I429&lt;&gt;""),IF(D429="Long",(M429-F429)*I429-IF(N429&lt;&gt;"",N429,0),IF(D429="Short",(F429-M429)*I429-IF(N429&lt;&gt;"",N429,0),"")),""),"")</f>
        <v/>
      </c>
      <c r="P429" s="25">
        <f>IFERROR(IF(AND(O429&lt;&gt;"",F429&lt;&gt;"",I429&lt;&gt;""),O429/(F429*I429),""),"")</f>
        <v/>
      </c>
      <c r="Q429" s="26">
        <f>IFERROR(IF(AND(O429&lt;&gt;"",J429&lt;&gt;"",J429&lt;&gt;0),O429/J429,""),"")</f>
        <v/>
      </c>
      <c r="R429" s="27">
        <f>IFERROR(IF(AND(L429&lt;&gt;"",B429&lt;&gt;""),L429-B429,""),"")</f>
        <v/>
      </c>
      <c r="S429" s="19" t="n"/>
      <c r="T429" s="19" t="n"/>
      <c r="U429" s="17">
        <f>IF(O429&lt;&gt;"",428,"")</f>
        <v/>
      </c>
      <c r="V429" s="18">
        <f>IF(O429&lt;&gt;"",V428+O429,V428)</f>
        <v/>
      </c>
    </row>
    <row r="430">
      <c r="A430" s="8" t="n"/>
      <c r="B430" s="9" t="n"/>
      <c r="C430" s="8" t="n"/>
      <c r="D430" s="8" t="n"/>
      <c r="E430" s="8" t="n"/>
      <c r="F430" s="10" t="n"/>
      <c r="G430" s="10" t="n"/>
      <c r="H430" s="10" t="n"/>
      <c r="I430" s="11" t="n"/>
      <c r="J430" s="10">
        <f>IFERROR(IF(AND(F430&lt;&gt;"",G430&lt;&gt;"",I430&lt;&gt;""),ABS(F430-G430)*I430,""),"")</f>
        <v/>
      </c>
      <c r="K430" s="12">
        <f>IFERROR(IF(AND(F430&lt;&gt;"",G430&lt;&gt;"",H430&lt;&gt;""),ABS(H430-F430)/ABS(F430-G430),""),"")</f>
        <v/>
      </c>
      <c r="L430" s="9" t="n"/>
      <c r="M430" s="10" t="n"/>
      <c r="N430" s="10" t="n"/>
      <c r="O430" s="13">
        <f>IFERROR(IF(AND(M430&lt;&gt;"",F430&lt;&gt;"",I430&lt;&gt;""),IF(D430="Long",(M430-F430)*I430-IF(N430&lt;&gt;"",N430,0),IF(D430="Short",(F430-M430)*I430-IF(N430&lt;&gt;"",N430,0),"")),""),"")</f>
        <v/>
      </c>
      <c r="P430" s="14">
        <f>IFERROR(IF(AND(O430&lt;&gt;"",F430&lt;&gt;"",I430&lt;&gt;""),O430/(F430*I430),""),"")</f>
        <v/>
      </c>
      <c r="Q430" s="15">
        <f>IFERROR(IF(AND(O430&lt;&gt;"",J430&lt;&gt;"",J430&lt;&gt;0),O430/J430,""),"")</f>
        <v/>
      </c>
      <c r="R430" s="16">
        <f>IFERROR(IF(AND(L430&lt;&gt;"",B430&lt;&gt;""),L430-B430,""),"")</f>
        <v/>
      </c>
      <c r="S430" s="8" t="n"/>
      <c r="T430" s="8" t="n"/>
      <c r="U430" s="17">
        <f>IF(O430&lt;&gt;"",429,"")</f>
        <v/>
      </c>
      <c r="V430" s="18">
        <f>IF(O430&lt;&gt;"",V429+O430,V429)</f>
        <v/>
      </c>
    </row>
    <row r="431">
      <c r="A431" s="19" t="n"/>
      <c r="B431" s="20" t="n"/>
      <c r="C431" s="19" t="n"/>
      <c r="D431" s="19" t="n"/>
      <c r="E431" s="19" t="n"/>
      <c r="F431" s="21" t="n"/>
      <c r="G431" s="21" t="n"/>
      <c r="H431" s="21" t="n"/>
      <c r="I431" s="22" t="n"/>
      <c r="J431" s="21">
        <f>IFERROR(IF(AND(F431&lt;&gt;"",G431&lt;&gt;"",I431&lt;&gt;""),ABS(F431-G431)*I431,""),"")</f>
        <v/>
      </c>
      <c r="K431" s="23">
        <f>IFERROR(IF(AND(F431&lt;&gt;"",G431&lt;&gt;"",H431&lt;&gt;""),ABS(H431-F431)/ABS(F431-G431),""),"")</f>
        <v/>
      </c>
      <c r="L431" s="20" t="n"/>
      <c r="M431" s="21" t="n"/>
      <c r="N431" s="21" t="n"/>
      <c r="O431" s="24">
        <f>IFERROR(IF(AND(M431&lt;&gt;"",F431&lt;&gt;"",I431&lt;&gt;""),IF(D431="Long",(M431-F431)*I431-IF(N431&lt;&gt;"",N431,0),IF(D431="Short",(F431-M431)*I431-IF(N431&lt;&gt;"",N431,0),"")),""),"")</f>
        <v/>
      </c>
      <c r="P431" s="25">
        <f>IFERROR(IF(AND(O431&lt;&gt;"",F431&lt;&gt;"",I431&lt;&gt;""),O431/(F431*I431),""),"")</f>
        <v/>
      </c>
      <c r="Q431" s="26">
        <f>IFERROR(IF(AND(O431&lt;&gt;"",J431&lt;&gt;"",J431&lt;&gt;0),O431/J431,""),"")</f>
        <v/>
      </c>
      <c r="R431" s="27">
        <f>IFERROR(IF(AND(L431&lt;&gt;"",B431&lt;&gt;""),L431-B431,""),"")</f>
        <v/>
      </c>
      <c r="S431" s="19" t="n"/>
      <c r="T431" s="19" t="n"/>
      <c r="U431" s="17">
        <f>IF(O431&lt;&gt;"",430,"")</f>
        <v/>
      </c>
      <c r="V431" s="18">
        <f>IF(O431&lt;&gt;"",V430+O431,V430)</f>
        <v/>
      </c>
    </row>
    <row r="432">
      <c r="A432" s="8" t="n"/>
      <c r="B432" s="9" t="n"/>
      <c r="C432" s="8" t="n"/>
      <c r="D432" s="8" t="n"/>
      <c r="E432" s="8" t="n"/>
      <c r="F432" s="10" t="n"/>
      <c r="G432" s="10" t="n"/>
      <c r="H432" s="10" t="n"/>
      <c r="I432" s="11" t="n"/>
      <c r="J432" s="10">
        <f>IFERROR(IF(AND(F432&lt;&gt;"",G432&lt;&gt;"",I432&lt;&gt;""),ABS(F432-G432)*I432,""),"")</f>
        <v/>
      </c>
      <c r="K432" s="12">
        <f>IFERROR(IF(AND(F432&lt;&gt;"",G432&lt;&gt;"",H432&lt;&gt;""),ABS(H432-F432)/ABS(F432-G432),""),"")</f>
        <v/>
      </c>
      <c r="L432" s="9" t="n"/>
      <c r="M432" s="10" t="n"/>
      <c r="N432" s="10" t="n"/>
      <c r="O432" s="13">
        <f>IFERROR(IF(AND(M432&lt;&gt;"",F432&lt;&gt;"",I432&lt;&gt;""),IF(D432="Long",(M432-F432)*I432-IF(N432&lt;&gt;"",N432,0),IF(D432="Short",(F432-M432)*I432-IF(N432&lt;&gt;"",N432,0),"")),""),"")</f>
        <v/>
      </c>
      <c r="P432" s="14">
        <f>IFERROR(IF(AND(O432&lt;&gt;"",F432&lt;&gt;"",I432&lt;&gt;""),O432/(F432*I432),""),"")</f>
        <v/>
      </c>
      <c r="Q432" s="15">
        <f>IFERROR(IF(AND(O432&lt;&gt;"",J432&lt;&gt;"",J432&lt;&gt;0),O432/J432,""),"")</f>
        <v/>
      </c>
      <c r="R432" s="16">
        <f>IFERROR(IF(AND(L432&lt;&gt;"",B432&lt;&gt;""),L432-B432,""),"")</f>
        <v/>
      </c>
      <c r="S432" s="8" t="n"/>
      <c r="T432" s="8" t="n"/>
      <c r="U432" s="17">
        <f>IF(O432&lt;&gt;"",431,"")</f>
        <v/>
      </c>
      <c r="V432" s="18">
        <f>IF(O432&lt;&gt;"",V431+O432,V431)</f>
        <v/>
      </c>
    </row>
    <row r="433">
      <c r="A433" s="19" t="n"/>
      <c r="B433" s="20" t="n"/>
      <c r="C433" s="19" t="n"/>
      <c r="D433" s="19" t="n"/>
      <c r="E433" s="19" t="n"/>
      <c r="F433" s="21" t="n"/>
      <c r="G433" s="21" t="n"/>
      <c r="H433" s="21" t="n"/>
      <c r="I433" s="22" t="n"/>
      <c r="J433" s="21">
        <f>IFERROR(IF(AND(F433&lt;&gt;"",G433&lt;&gt;"",I433&lt;&gt;""),ABS(F433-G433)*I433,""),"")</f>
        <v/>
      </c>
      <c r="K433" s="23">
        <f>IFERROR(IF(AND(F433&lt;&gt;"",G433&lt;&gt;"",H433&lt;&gt;""),ABS(H433-F433)/ABS(F433-G433),""),"")</f>
        <v/>
      </c>
      <c r="L433" s="20" t="n"/>
      <c r="M433" s="21" t="n"/>
      <c r="N433" s="21" t="n"/>
      <c r="O433" s="24">
        <f>IFERROR(IF(AND(M433&lt;&gt;"",F433&lt;&gt;"",I433&lt;&gt;""),IF(D433="Long",(M433-F433)*I433-IF(N433&lt;&gt;"",N433,0),IF(D433="Short",(F433-M433)*I433-IF(N433&lt;&gt;"",N433,0),"")),""),"")</f>
        <v/>
      </c>
      <c r="P433" s="25">
        <f>IFERROR(IF(AND(O433&lt;&gt;"",F433&lt;&gt;"",I433&lt;&gt;""),O433/(F433*I433),""),"")</f>
        <v/>
      </c>
      <c r="Q433" s="26">
        <f>IFERROR(IF(AND(O433&lt;&gt;"",J433&lt;&gt;"",J433&lt;&gt;0),O433/J433,""),"")</f>
        <v/>
      </c>
      <c r="R433" s="27">
        <f>IFERROR(IF(AND(L433&lt;&gt;"",B433&lt;&gt;""),L433-B433,""),"")</f>
        <v/>
      </c>
      <c r="S433" s="19" t="n"/>
      <c r="T433" s="19" t="n"/>
      <c r="U433" s="17">
        <f>IF(O433&lt;&gt;"",432,"")</f>
        <v/>
      </c>
      <c r="V433" s="18">
        <f>IF(O433&lt;&gt;"",V432+O433,V432)</f>
        <v/>
      </c>
    </row>
    <row r="434">
      <c r="A434" s="8" t="n"/>
      <c r="B434" s="9" t="n"/>
      <c r="C434" s="8" t="n"/>
      <c r="D434" s="8" t="n"/>
      <c r="E434" s="8" t="n"/>
      <c r="F434" s="10" t="n"/>
      <c r="G434" s="10" t="n"/>
      <c r="H434" s="10" t="n"/>
      <c r="I434" s="11" t="n"/>
      <c r="J434" s="10">
        <f>IFERROR(IF(AND(F434&lt;&gt;"",G434&lt;&gt;"",I434&lt;&gt;""),ABS(F434-G434)*I434,""),"")</f>
        <v/>
      </c>
      <c r="K434" s="12">
        <f>IFERROR(IF(AND(F434&lt;&gt;"",G434&lt;&gt;"",H434&lt;&gt;""),ABS(H434-F434)/ABS(F434-G434),""),"")</f>
        <v/>
      </c>
      <c r="L434" s="9" t="n"/>
      <c r="M434" s="10" t="n"/>
      <c r="N434" s="10" t="n"/>
      <c r="O434" s="13">
        <f>IFERROR(IF(AND(M434&lt;&gt;"",F434&lt;&gt;"",I434&lt;&gt;""),IF(D434="Long",(M434-F434)*I434-IF(N434&lt;&gt;"",N434,0),IF(D434="Short",(F434-M434)*I434-IF(N434&lt;&gt;"",N434,0),"")),""),"")</f>
        <v/>
      </c>
      <c r="P434" s="14">
        <f>IFERROR(IF(AND(O434&lt;&gt;"",F434&lt;&gt;"",I434&lt;&gt;""),O434/(F434*I434),""),"")</f>
        <v/>
      </c>
      <c r="Q434" s="15">
        <f>IFERROR(IF(AND(O434&lt;&gt;"",J434&lt;&gt;"",J434&lt;&gt;0),O434/J434,""),"")</f>
        <v/>
      </c>
      <c r="R434" s="16">
        <f>IFERROR(IF(AND(L434&lt;&gt;"",B434&lt;&gt;""),L434-B434,""),"")</f>
        <v/>
      </c>
      <c r="S434" s="8" t="n"/>
      <c r="T434" s="8" t="n"/>
      <c r="U434" s="17">
        <f>IF(O434&lt;&gt;"",433,"")</f>
        <v/>
      </c>
      <c r="V434" s="18">
        <f>IF(O434&lt;&gt;"",V433+O434,V433)</f>
        <v/>
      </c>
    </row>
    <row r="435">
      <c r="A435" s="19" t="n"/>
      <c r="B435" s="20" t="n"/>
      <c r="C435" s="19" t="n"/>
      <c r="D435" s="19" t="n"/>
      <c r="E435" s="19" t="n"/>
      <c r="F435" s="21" t="n"/>
      <c r="G435" s="21" t="n"/>
      <c r="H435" s="21" t="n"/>
      <c r="I435" s="22" t="n"/>
      <c r="J435" s="21">
        <f>IFERROR(IF(AND(F435&lt;&gt;"",G435&lt;&gt;"",I435&lt;&gt;""),ABS(F435-G435)*I435,""),"")</f>
        <v/>
      </c>
      <c r="K435" s="23">
        <f>IFERROR(IF(AND(F435&lt;&gt;"",G435&lt;&gt;"",H435&lt;&gt;""),ABS(H435-F435)/ABS(F435-G435),""),"")</f>
        <v/>
      </c>
      <c r="L435" s="20" t="n"/>
      <c r="M435" s="21" t="n"/>
      <c r="N435" s="21" t="n"/>
      <c r="O435" s="24">
        <f>IFERROR(IF(AND(M435&lt;&gt;"",F435&lt;&gt;"",I435&lt;&gt;""),IF(D435="Long",(M435-F435)*I435-IF(N435&lt;&gt;"",N435,0),IF(D435="Short",(F435-M435)*I435-IF(N435&lt;&gt;"",N435,0),"")),""),"")</f>
        <v/>
      </c>
      <c r="P435" s="25">
        <f>IFERROR(IF(AND(O435&lt;&gt;"",F435&lt;&gt;"",I435&lt;&gt;""),O435/(F435*I435),""),"")</f>
        <v/>
      </c>
      <c r="Q435" s="26">
        <f>IFERROR(IF(AND(O435&lt;&gt;"",J435&lt;&gt;"",J435&lt;&gt;0),O435/J435,""),"")</f>
        <v/>
      </c>
      <c r="R435" s="27">
        <f>IFERROR(IF(AND(L435&lt;&gt;"",B435&lt;&gt;""),L435-B435,""),"")</f>
        <v/>
      </c>
      <c r="S435" s="19" t="n"/>
      <c r="T435" s="19" t="n"/>
      <c r="U435" s="17">
        <f>IF(O435&lt;&gt;"",434,"")</f>
        <v/>
      </c>
      <c r="V435" s="18">
        <f>IF(O435&lt;&gt;"",V434+O435,V434)</f>
        <v/>
      </c>
    </row>
    <row r="436">
      <c r="A436" s="8" t="n"/>
      <c r="B436" s="9" t="n"/>
      <c r="C436" s="8" t="n"/>
      <c r="D436" s="8" t="n"/>
      <c r="E436" s="8" t="n"/>
      <c r="F436" s="10" t="n"/>
      <c r="G436" s="10" t="n"/>
      <c r="H436" s="10" t="n"/>
      <c r="I436" s="11" t="n"/>
      <c r="J436" s="10">
        <f>IFERROR(IF(AND(F436&lt;&gt;"",G436&lt;&gt;"",I436&lt;&gt;""),ABS(F436-G436)*I436,""),"")</f>
        <v/>
      </c>
      <c r="K436" s="12">
        <f>IFERROR(IF(AND(F436&lt;&gt;"",G436&lt;&gt;"",H436&lt;&gt;""),ABS(H436-F436)/ABS(F436-G436),""),"")</f>
        <v/>
      </c>
      <c r="L436" s="9" t="n"/>
      <c r="M436" s="10" t="n"/>
      <c r="N436" s="10" t="n"/>
      <c r="O436" s="13">
        <f>IFERROR(IF(AND(M436&lt;&gt;"",F436&lt;&gt;"",I436&lt;&gt;""),IF(D436="Long",(M436-F436)*I436-IF(N436&lt;&gt;"",N436,0),IF(D436="Short",(F436-M436)*I436-IF(N436&lt;&gt;"",N436,0),"")),""),"")</f>
        <v/>
      </c>
      <c r="P436" s="14">
        <f>IFERROR(IF(AND(O436&lt;&gt;"",F436&lt;&gt;"",I436&lt;&gt;""),O436/(F436*I436),""),"")</f>
        <v/>
      </c>
      <c r="Q436" s="15">
        <f>IFERROR(IF(AND(O436&lt;&gt;"",J436&lt;&gt;"",J436&lt;&gt;0),O436/J436,""),"")</f>
        <v/>
      </c>
      <c r="R436" s="16">
        <f>IFERROR(IF(AND(L436&lt;&gt;"",B436&lt;&gt;""),L436-B436,""),"")</f>
        <v/>
      </c>
      <c r="S436" s="8" t="n"/>
      <c r="T436" s="8" t="n"/>
      <c r="U436" s="17">
        <f>IF(O436&lt;&gt;"",435,"")</f>
        <v/>
      </c>
      <c r="V436" s="18">
        <f>IF(O436&lt;&gt;"",V435+O436,V435)</f>
        <v/>
      </c>
    </row>
    <row r="437">
      <c r="A437" s="19" t="n"/>
      <c r="B437" s="20" t="n"/>
      <c r="C437" s="19" t="n"/>
      <c r="D437" s="19" t="n"/>
      <c r="E437" s="19" t="n"/>
      <c r="F437" s="21" t="n"/>
      <c r="G437" s="21" t="n"/>
      <c r="H437" s="21" t="n"/>
      <c r="I437" s="22" t="n"/>
      <c r="J437" s="21">
        <f>IFERROR(IF(AND(F437&lt;&gt;"",G437&lt;&gt;"",I437&lt;&gt;""),ABS(F437-G437)*I437,""),"")</f>
        <v/>
      </c>
      <c r="K437" s="23">
        <f>IFERROR(IF(AND(F437&lt;&gt;"",G437&lt;&gt;"",H437&lt;&gt;""),ABS(H437-F437)/ABS(F437-G437),""),"")</f>
        <v/>
      </c>
      <c r="L437" s="20" t="n"/>
      <c r="M437" s="21" t="n"/>
      <c r="N437" s="21" t="n"/>
      <c r="O437" s="24">
        <f>IFERROR(IF(AND(M437&lt;&gt;"",F437&lt;&gt;"",I437&lt;&gt;""),IF(D437="Long",(M437-F437)*I437-IF(N437&lt;&gt;"",N437,0),IF(D437="Short",(F437-M437)*I437-IF(N437&lt;&gt;"",N437,0),"")),""),"")</f>
        <v/>
      </c>
      <c r="P437" s="25">
        <f>IFERROR(IF(AND(O437&lt;&gt;"",F437&lt;&gt;"",I437&lt;&gt;""),O437/(F437*I437),""),"")</f>
        <v/>
      </c>
      <c r="Q437" s="26">
        <f>IFERROR(IF(AND(O437&lt;&gt;"",J437&lt;&gt;"",J437&lt;&gt;0),O437/J437,""),"")</f>
        <v/>
      </c>
      <c r="R437" s="27">
        <f>IFERROR(IF(AND(L437&lt;&gt;"",B437&lt;&gt;""),L437-B437,""),"")</f>
        <v/>
      </c>
      <c r="S437" s="19" t="n"/>
      <c r="T437" s="19" t="n"/>
      <c r="U437" s="17">
        <f>IF(O437&lt;&gt;"",436,"")</f>
        <v/>
      </c>
      <c r="V437" s="18">
        <f>IF(O437&lt;&gt;"",V436+O437,V436)</f>
        <v/>
      </c>
    </row>
    <row r="438">
      <c r="A438" s="8" t="n"/>
      <c r="B438" s="9" t="n"/>
      <c r="C438" s="8" t="n"/>
      <c r="D438" s="8" t="n"/>
      <c r="E438" s="8" t="n"/>
      <c r="F438" s="10" t="n"/>
      <c r="G438" s="10" t="n"/>
      <c r="H438" s="10" t="n"/>
      <c r="I438" s="11" t="n"/>
      <c r="J438" s="10">
        <f>IFERROR(IF(AND(F438&lt;&gt;"",G438&lt;&gt;"",I438&lt;&gt;""),ABS(F438-G438)*I438,""),"")</f>
        <v/>
      </c>
      <c r="K438" s="12">
        <f>IFERROR(IF(AND(F438&lt;&gt;"",G438&lt;&gt;"",H438&lt;&gt;""),ABS(H438-F438)/ABS(F438-G438),""),"")</f>
        <v/>
      </c>
      <c r="L438" s="9" t="n"/>
      <c r="M438" s="10" t="n"/>
      <c r="N438" s="10" t="n"/>
      <c r="O438" s="13">
        <f>IFERROR(IF(AND(M438&lt;&gt;"",F438&lt;&gt;"",I438&lt;&gt;""),IF(D438="Long",(M438-F438)*I438-IF(N438&lt;&gt;"",N438,0),IF(D438="Short",(F438-M438)*I438-IF(N438&lt;&gt;"",N438,0),"")),""),"")</f>
        <v/>
      </c>
      <c r="P438" s="14">
        <f>IFERROR(IF(AND(O438&lt;&gt;"",F438&lt;&gt;"",I438&lt;&gt;""),O438/(F438*I438),""),"")</f>
        <v/>
      </c>
      <c r="Q438" s="15">
        <f>IFERROR(IF(AND(O438&lt;&gt;"",J438&lt;&gt;"",J438&lt;&gt;0),O438/J438,""),"")</f>
        <v/>
      </c>
      <c r="R438" s="16">
        <f>IFERROR(IF(AND(L438&lt;&gt;"",B438&lt;&gt;""),L438-B438,""),"")</f>
        <v/>
      </c>
      <c r="S438" s="8" t="n"/>
      <c r="T438" s="8" t="n"/>
      <c r="U438" s="17">
        <f>IF(O438&lt;&gt;"",437,"")</f>
        <v/>
      </c>
      <c r="V438" s="18">
        <f>IF(O438&lt;&gt;"",V437+O438,V437)</f>
        <v/>
      </c>
    </row>
    <row r="439">
      <c r="A439" s="19" t="n"/>
      <c r="B439" s="20" t="n"/>
      <c r="C439" s="19" t="n"/>
      <c r="D439" s="19" t="n"/>
      <c r="E439" s="19" t="n"/>
      <c r="F439" s="21" t="n"/>
      <c r="G439" s="21" t="n"/>
      <c r="H439" s="21" t="n"/>
      <c r="I439" s="22" t="n"/>
      <c r="J439" s="21">
        <f>IFERROR(IF(AND(F439&lt;&gt;"",G439&lt;&gt;"",I439&lt;&gt;""),ABS(F439-G439)*I439,""),"")</f>
        <v/>
      </c>
      <c r="K439" s="23">
        <f>IFERROR(IF(AND(F439&lt;&gt;"",G439&lt;&gt;"",H439&lt;&gt;""),ABS(H439-F439)/ABS(F439-G439),""),"")</f>
        <v/>
      </c>
      <c r="L439" s="20" t="n"/>
      <c r="M439" s="21" t="n"/>
      <c r="N439" s="21" t="n"/>
      <c r="O439" s="24">
        <f>IFERROR(IF(AND(M439&lt;&gt;"",F439&lt;&gt;"",I439&lt;&gt;""),IF(D439="Long",(M439-F439)*I439-IF(N439&lt;&gt;"",N439,0),IF(D439="Short",(F439-M439)*I439-IF(N439&lt;&gt;"",N439,0),"")),""),"")</f>
        <v/>
      </c>
      <c r="P439" s="25">
        <f>IFERROR(IF(AND(O439&lt;&gt;"",F439&lt;&gt;"",I439&lt;&gt;""),O439/(F439*I439),""),"")</f>
        <v/>
      </c>
      <c r="Q439" s="26">
        <f>IFERROR(IF(AND(O439&lt;&gt;"",J439&lt;&gt;"",J439&lt;&gt;0),O439/J439,""),"")</f>
        <v/>
      </c>
      <c r="R439" s="27">
        <f>IFERROR(IF(AND(L439&lt;&gt;"",B439&lt;&gt;""),L439-B439,""),"")</f>
        <v/>
      </c>
      <c r="S439" s="19" t="n"/>
      <c r="T439" s="19" t="n"/>
      <c r="U439" s="17">
        <f>IF(O439&lt;&gt;"",438,"")</f>
        <v/>
      </c>
      <c r="V439" s="18">
        <f>IF(O439&lt;&gt;"",V438+O439,V438)</f>
        <v/>
      </c>
    </row>
    <row r="440">
      <c r="A440" s="8" t="n"/>
      <c r="B440" s="9" t="n"/>
      <c r="C440" s="8" t="n"/>
      <c r="D440" s="8" t="n"/>
      <c r="E440" s="8" t="n"/>
      <c r="F440" s="10" t="n"/>
      <c r="G440" s="10" t="n"/>
      <c r="H440" s="10" t="n"/>
      <c r="I440" s="11" t="n"/>
      <c r="J440" s="10">
        <f>IFERROR(IF(AND(F440&lt;&gt;"",G440&lt;&gt;"",I440&lt;&gt;""),ABS(F440-G440)*I440,""),"")</f>
        <v/>
      </c>
      <c r="K440" s="12">
        <f>IFERROR(IF(AND(F440&lt;&gt;"",G440&lt;&gt;"",H440&lt;&gt;""),ABS(H440-F440)/ABS(F440-G440),""),"")</f>
        <v/>
      </c>
      <c r="L440" s="9" t="n"/>
      <c r="M440" s="10" t="n"/>
      <c r="N440" s="10" t="n"/>
      <c r="O440" s="13">
        <f>IFERROR(IF(AND(M440&lt;&gt;"",F440&lt;&gt;"",I440&lt;&gt;""),IF(D440="Long",(M440-F440)*I440-IF(N440&lt;&gt;"",N440,0),IF(D440="Short",(F440-M440)*I440-IF(N440&lt;&gt;"",N440,0),"")),""),"")</f>
        <v/>
      </c>
      <c r="P440" s="14">
        <f>IFERROR(IF(AND(O440&lt;&gt;"",F440&lt;&gt;"",I440&lt;&gt;""),O440/(F440*I440),""),"")</f>
        <v/>
      </c>
      <c r="Q440" s="15">
        <f>IFERROR(IF(AND(O440&lt;&gt;"",J440&lt;&gt;"",J440&lt;&gt;0),O440/J440,""),"")</f>
        <v/>
      </c>
      <c r="R440" s="16">
        <f>IFERROR(IF(AND(L440&lt;&gt;"",B440&lt;&gt;""),L440-B440,""),"")</f>
        <v/>
      </c>
      <c r="S440" s="8" t="n"/>
      <c r="T440" s="8" t="n"/>
      <c r="U440" s="17">
        <f>IF(O440&lt;&gt;"",439,"")</f>
        <v/>
      </c>
      <c r="V440" s="18">
        <f>IF(O440&lt;&gt;"",V439+O440,V439)</f>
        <v/>
      </c>
    </row>
    <row r="441">
      <c r="A441" s="19" t="n"/>
      <c r="B441" s="20" t="n"/>
      <c r="C441" s="19" t="n"/>
      <c r="D441" s="19" t="n"/>
      <c r="E441" s="19" t="n"/>
      <c r="F441" s="21" t="n"/>
      <c r="G441" s="21" t="n"/>
      <c r="H441" s="21" t="n"/>
      <c r="I441" s="22" t="n"/>
      <c r="J441" s="21">
        <f>IFERROR(IF(AND(F441&lt;&gt;"",G441&lt;&gt;"",I441&lt;&gt;""),ABS(F441-G441)*I441,""),"")</f>
        <v/>
      </c>
      <c r="K441" s="23">
        <f>IFERROR(IF(AND(F441&lt;&gt;"",G441&lt;&gt;"",H441&lt;&gt;""),ABS(H441-F441)/ABS(F441-G441),""),"")</f>
        <v/>
      </c>
      <c r="L441" s="20" t="n"/>
      <c r="M441" s="21" t="n"/>
      <c r="N441" s="21" t="n"/>
      <c r="O441" s="24">
        <f>IFERROR(IF(AND(M441&lt;&gt;"",F441&lt;&gt;"",I441&lt;&gt;""),IF(D441="Long",(M441-F441)*I441-IF(N441&lt;&gt;"",N441,0),IF(D441="Short",(F441-M441)*I441-IF(N441&lt;&gt;"",N441,0),"")),""),"")</f>
        <v/>
      </c>
      <c r="P441" s="25">
        <f>IFERROR(IF(AND(O441&lt;&gt;"",F441&lt;&gt;"",I441&lt;&gt;""),O441/(F441*I441),""),"")</f>
        <v/>
      </c>
      <c r="Q441" s="26">
        <f>IFERROR(IF(AND(O441&lt;&gt;"",J441&lt;&gt;"",J441&lt;&gt;0),O441/J441,""),"")</f>
        <v/>
      </c>
      <c r="R441" s="27">
        <f>IFERROR(IF(AND(L441&lt;&gt;"",B441&lt;&gt;""),L441-B441,""),"")</f>
        <v/>
      </c>
      <c r="S441" s="19" t="n"/>
      <c r="T441" s="19" t="n"/>
      <c r="U441" s="17">
        <f>IF(O441&lt;&gt;"",440,"")</f>
        <v/>
      </c>
      <c r="V441" s="18">
        <f>IF(O441&lt;&gt;"",V440+O441,V440)</f>
        <v/>
      </c>
    </row>
    <row r="442">
      <c r="A442" s="8" t="n"/>
      <c r="B442" s="9" t="n"/>
      <c r="C442" s="8" t="n"/>
      <c r="D442" s="8" t="n"/>
      <c r="E442" s="8" t="n"/>
      <c r="F442" s="10" t="n"/>
      <c r="G442" s="10" t="n"/>
      <c r="H442" s="10" t="n"/>
      <c r="I442" s="11" t="n"/>
      <c r="J442" s="10">
        <f>IFERROR(IF(AND(F442&lt;&gt;"",G442&lt;&gt;"",I442&lt;&gt;""),ABS(F442-G442)*I442,""),"")</f>
        <v/>
      </c>
      <c r="K442" s="12">
        <f>IFERROR(IF(AND(F442&lt;&gt;"",G442&lt;&gt;"",H442&lt;&gt;""),ABS(H442-F442)/ABS(F442-G442),""),"")</f>
        <v/>
      </c>
      <c r="L442" s="9" t="n"/>
      <c r="M442" s="10" t="n"/>
      <c r="N442" s="10" t="n"/>
      <c r="O442" s="13">
        <f>IFERROR(IF(AND(M442&lt;&gt;"",F442&lt;&gt;"",I442&lt;&gt;""),IF(D442="Long",(M442-F442)*I442-IF(N442&lt;&gt;"",N442,0),IF(D442="Short",(F442-M442)*I442-IF(N442&lt;&gt;"",N442,0),"")),""),"")</f>
        <v/>
      </c>
      <c r="P442" s="14">
        <f>IFERROR(IF(AND(O442&lt;&gt;"",F442&lt;&gt;"",I442&lt;&gt;""),O442/(F442*I442),""),"")</f>
        <v/>
      </c>
      <c r="Q442" s="15">
        <f>IFERROR(IF(AND(O442&lt;&gt;"",J442&lt;&gt;"",J442&lt;&gt;0),O442/J442,""),"")</f>
        <v/>
      </c>
      <c r="R442" s="16">
        <f>IFERROR(IF(AND(L442&lt;&gt;"",B442&lt;&gt;""),L442-B442,""),"")</f>
        <v/>
      </c>
      <c r="S442" s="8" t="n"/>
      <c r="T442" s="8" t="n"/>
      <c r="U442" s="17">
        <f>IF(O442&lt;&gt;"",441,"")</f>
        <v/>
      </c>
      <c r="V442" s="18">
        <f>IF(O442&lt;&gt;"",V441+O442,V441)</f>
        <v/>
      </c>
    </row>
    <row r="443">
      <c r="A443" s="19" t="n"/>
      <c r="B443" s="20" t="n"/>
      <c r="C443" s="19" t="n"/>
      <c r="D443" s="19" t="n"/>
      <c r="E443" s="19" t="n"/>
      <c r="F443" s="21" t="n"/>
      <c r="G443" s="21" t="n"/>
      <c r="H443" s="21" t="n"/>
      <c r="I443" s="22" t="n"/>
      <c r="J443" s="21">
        <f>IFERROR(IF(AND(F443&lt;&gt;"",G443&lt;&gt;"",I443&lt;&gt;""),ABS(F443-G443)*I443,""),"")</f>
        <v/>
      </c>
      <c r="K443" s="23">
        <f>IFERROR(IF(AND(F443&lt;&gt;"",G443&lt;&gt;"",H443&lt;&gt;""),ABS(H443-F443)/ABS(F443-G443),""),"")</f>
        <v/>
      </c>
      <c r="L443" s="20" t="n"/>
      <c r="M443" s="21" t="n"/>
      <c r="N443" s="21" t="n"/>
      <c r="O443" s="24">
        <f>IFERROR(IF(AND(M443&lt;&gt;"",F443&lt;&gt;"",I443&lt;&gt;""),IF(D443="Long",(M443-F443)*I443-IF(N443&lt;&gt;"",N443,0),IF(D443="Short",(F443-M443)*I443-IF(N443&lt;&gt;"",N443,0),"")),""),"")</f>
        <v/>
      </c>
      <c r="P443" s="25">
        <f>IFERROR(IF(AND(O443&lt;&gt;"",F443&lt;&gt;"",I443&lt;&gt;""),O443/(F443*I443),""),"")</f>
        <v/>
      </c>
      <c r="Q443" s="26">
        <f>IFERROR(IF(AND(O443&lt;&gt;"",J443&lt;&gt;"",J443&lt;&gt;0),O443/J443,""),"")</f>
        <v/>
      </c>
      <c r="R443" s="27">
        <f>IFERROR(IF(AND(L443&lt;&gt;"",B443&lt;&gt;""),L443-B443,""),"")</f>
        <v/>
      </c>
      <c r="S443" s="19" t="n"/>
      <c r="T443" s="19" t="n"/>
      <c r="U443" s="17">
        <f>IF(O443&lt;&gt;"",442,"")</f>
        <v/>
      </c>
      <c r="V443" s="18">
        <f>IF(O443&lt;&gt;"",V442+O443,V442)</f>
        <v/>
      </c>
    </row>
    <row r="444">
      <c r="A444" s="8" t="n"/>
      <c r="B444" s="9" t="n"/>
      <c r="C444" s="8" t="n"/>
      <c r="D444" s="8" t="n"/>
      <c r="E444" s="8" t="n"/>
      <c r="F444" s="10" t="n"/>
      <c r="G444" s="10" t="n"/>
      <c r="H444" s="10" t="n"/>
      <c r="I444" s="11" t="n"/>
      <c r="J444" s="10">
        <f>IFERROR(IF(AND(F444&lt;&gt;"",G444&lt;&gt;"",I444&lt;&gt;""),ABS(F444-G444)*I444,""),"")</f>
        <v/>
      </c>
      <c r="K444" s="12">
        <f>IFERROR(IF(AND(F444&lt;&gt;"",G444&lt;&gt;"",H444&lt;&gt;""),ABS(H444-F444)/ABS(F444-G444),""),"")</f>
        <v/>
      </c>
      <c r="L444" s="9" t="n"/>
      <c r="M444" s="10" t="n"/>
      <c r="N444" s="10" t="n"/>
      <c r="O444" s="13">
        <f>IFERROR(IF(AND(M444&lt;&gt;"",F444&lt;&gt;"",I444&lt;&gt;""),IF(D444="Long",(M444-F444)*I444-IF(N444&lt;&gt;"",N444,0),IF(D444="Short",(F444-M444)*I444-IF(N444&lt;&gt;"",N444,0),"")),""),"")</f>
        <v/>
      </c>
      <c r="P444" s="14">
        <f>IFERROR(IF(AND(O444&lt;&gt;"",F444&lt;&gt;"",I444&lt;&gt;""),O444/(F444*I444),""),"")</f>
        <v/>
      </c>
      <c r="Q444" s="15">
        <f>IFERROR(IF(AND(O444&lt;&gt;"",J444&lt;&gt;"",J444&lt;&gt;0),O444/J444,""),"")</f>
        <v/>
      </c>
      <c r="R444" s="16">
        <f>IFERROR(IF(AND(L444&lt;&gt;"",B444&lt;&gt;""),L444-B444,""),"")</f>
        <v/>
      </c>
      <c r="S444" s="8" t="n"/>
      <c r="T444" s="8" t="n"/>
      <c r="U444" s="17">
        <f>IF(O444&lt;&gt;"",443,"")</f>
        <v/>
      </c>
      <c r="V444" s="18">
        <f>IF(O444&lt;&gt;"",V443+O444,V443)</f>
        <v/>
      </c>
    </row>
    <row r="445">
      <c r="A445" s="19" t="n"/>
      <c r="B445" s="20" t="n"/>
      <c r="C445" s="19" t="n"/>
      <c r="D445" s="19" t="n"/>
      <c r="E445" s="19" t="n"/>
      <c r="F445" s="21" t="n"/>
      <c r="G445" s="21" t="n"/>
      <c r="H445" s="21" t="n"/>
      <c r="I445" s="22" t="n"/>
      <c r="J445" s="21">
        <f>IFERROR(IF(AND(F445&lt;&gt;"",G445&lt;&gt;"",I445&lt;&gt;""),ABS(F445-G445)*I445,""),"")</f>
        <v/>
      </c>
      <c r="K445" s="23">
        <f>IFERROR(IF(AND(F445&lt;&gt;"",G445&lt;&gt;"",H445&lt;&gt;""),ABS(H445-F445)/ABS(F445-G445),""),"")</f>
        <v/>
      </c>
      <c r="L445" s="20" t="n"/>
      <c r="M445" s="21" t="n"/>
      <c r="N445" s="21" t="n"/>
      <c r="O445" s="24">
        <f>IFERROR(IF(AND(M445&lt;&gt;"",F445&lt;&gt;"",I445&lt;&gt;""),IF(D445="Long",(M445-F445)*I445-IF(N445&lt;&gt;"",N445,0),IF(D445="Short",(F445-M445)*I445-IF(N445&lt;&gt;"",N445,0),"")),""),"")</f>
        <v/>
      </c>
      <c r="P445" s="25">
        <f>IFERROR(IF(AND(O445&lt;&gt;"",F445&lt;&gt;"",I445&lt;&gt;""),O445/(F445*I445),""),"")</f>
        <v/>
      </c>
      <c r="Q445" s="26">
        <f>IFERROR(IF(AND(O445&lt;&gt;"",J445&lt;&gt;"",J445&lt;&gt;0),O445/J445,""),"")</f>
        <v/>
      </c>
      <c r="R445" s="27">
        <f>IFERROR(IF(AND(L445&lt;&gt;"",B445&lt;&gt;""),L445-B445,""),"")</f>
        <v/>
      </c>
      <c r="S445" s="19" t="n"/>
      <c r="T445" s="19" t="n"/>
      <c r="U445" s="17">
        <f>IF(O445&lt;&gt;"",444,"")</f>
        <v/>
      </c>
      <c r="V445" s="18">
        <f>IF(O445&lt;&gt;"",V444+O445,V444)</f>
        <v/>
      </c>
    </row>
    <row r="446">
      <c r="A446" s="8" t="n"/>
      <c r="B446" s="9" t="n"/>
      <c r="C446" s="8" t="n"/>
      <c r="D446" s="8" t="n"/>
      <c r="E446" s="8" t="n"/>
      <c r="F446" s="10" t="n"/>
      <c r="G446" s="10" t="n"/>
      <c r="H446" s="10" t="n"/>
      <c r="I446" s="11" t="n"/>
      <c r="J446" s="10">
        <f>IFERROR(IF(AND(F446&lt;&gt;"",G446&lt;&gt;"",I446&lt;&gt;""),ABS(F446-G446)*I446,""),"")</f>
        <v/>
      </c>
      <c r="K446" s="12">
        <f>IFERROR(IF(AND(F446&lt;&gt;"",G446&lt;&gt;"",H446&lt;&gt;""),ABS(H446-F446)/ABS(F446-G446),""),"")</f>
        <v/>
      </c>
      <c r="L446" s="9" t="n"/>
      <c r="M446" s="10" t="n"/>
      <c r="N446" s="10" t="n"/>
      <c r="O446" s="13">
        <f>IFERROR(IF(AND(M446&lt;&gt;"",F446&lt;&gt;"",I446&lt;&gt;""),IF(D446="Long",(M446-F446)*I446-IF(N446&lt;&gt;"",N446,0),IF(D446="Short",(F446-M446)*I446-IF(N446&lt;&gt;"",N446,0),"")),""),"")</f>
        <v/>
      </c>
      <c r="P446" s="14">
        <f>IFERROR(IF(AND(O446&lt;&gt;"",F446&lt;&gt;"",I446&lt;&gt;""),O446/(F446*I446),""),"")</f>
        <v/>
      </c>
      <c r="Q446" s="15">
        <f>IFERROR(IF(AND(O446&lt;&gt;"",J446&lt;&gt;"",J446&lt;&gt;0),O446/J446,""),"")</f>
        <v/>
      </c>
      <c r="R446" s="16">
        <f>IFERROR(IF(AND(L446&lt;&gt;"",B446&lt;&gt;""),L446-B446,""),"")</f>
        <v/>
      </c>
      <c r="S446" s="8" t="n"/>
      <c r="T446" s="8" t="n"/>
      <c r="U446" s="17">
        <f>IF(O446&lt;&gt;"",445,"")</f>
        <v/>
      </c>
      <c r="V446" s="18">
        <f>IF(O446&lt;&gt;"",V445+O446,V445)</f>
        <v/>
      </c>
    </row>
    <row r="447">
      <c r="A447" s="19" t="n"/>
      <c r="B447" s="20" t="n"/>
      <c r="C447" s="19" t="n"/>
      <c r="D447" s="19" t="n"/>
      <c r="E447" s="19" t="n"/>
      <c r="F447" s="21" t="n"/>
      <c r="G447" s="21" t="n"/>
      <c r="H447" s="21" t="n"/>
      <c r="I447" s="22" t="n"/>
      <c r="J447" s="21">
        <f>IFERROR(IF(AND(F447&lt;&gt;"",G447&lt;&gt;"",I447&lt;&gt;""),ABS(F447-G447)*I447,""),"")</f>
        <v/>
      </c>
      <c r="K447" s="23">
        <f>IFERROR(IF(AND(F447&lt;&gt;"",G447&lt;&gt;"",H447&lt;&gt;""),ABS(H447-F447)/ABS(F447-G447),""),"")</f>
        <v/>
      </c>
      <c r="L447" s="20" t="n"/>
      <c r="M447" s="21" t="n"/>
      <c r="N447" s="21" t="n"/>
      <c r="O447" s="24">
        <f>IFERROR(IF(AND(M447&lt;&gt;"",F447&lt;&gt;"",I447&lt;&gt;""),IF(D447="Long",(M447-F447)*I447-IF(N447&lt;&gt;"",N447,0),IF(D447="Short",(F447-M447)*I447-IF(N447&lt;&gt;"",N447,0),"")),""),"")</f>
        <v/>
      </c>
      <c r="P447" s="25">
        <f>IFERROR(IF(AND(O447&lt;&gt;"",F447&lt;&gt;"",I447&lt;&gt;""),O447/(F447*I447),""),"")</f>
        <v/>
      </c>
      <c r="Q447" s="26">
        <f>IFERROR(IF(AND(O447&lt;&gt;"",J447&lt;&gt;"",J447&lt;&gt;0),O447/J447,""),"")</f>
        <v/>
      </c>
      <c r="R447" s="27">
        <f>IFERROR(IF(AND(L447&lt;&gt;"",B447&lt;&gt;""),L447-B447,""),"")</f>
        <v/>
      </c>
      <c r="S447" s="19" t="n"/>
      <c r="T447" s="19" t="n"/>
      <c r="U447" s="17">
        <f>IF(O447&lt;&gt;"",446,"")</f>
        <v/>
      </c>
      <c r="V447" s="18">
        <f>IF(O447&lt;&gt;"",V446+O447,V446)</f>
        <v/>
      </c>
    </row>
    <row r="448">
      <c r="A448" s="8" t="n"/>
      <c r="B448" s="9" t="n"/>
      <c r="C448" s="8" t="n"/>
      <c r="D448" s="8" t="n"/>
      <c r="E448" s="8" t="n"/>
      <c r="F448" s="10" t="n"/>
      <c r="G448" s="10" t="n"/>
      <c r="H448" s="10" t="n"/>
      <c r="I448" s="11" t="n"/>
      <c r="J448" s="10">
        <f>IFERROR(IF(AND(F448&lt;&gt;"",G448&lt;&gt;"",I448&lt;&gt;""),ABS(F448-G448)*I448,""),"")</f>
        <v/>
      </c>
      <c r="K448" s="12">
        <f>IFERROR(IF(AND(F448&lt;&gt;"",G448&lt;&gt;"",H448&lt;&gt;""),ABS(H448-F448)/ABS(F448-G448),""),"")</f>
        <v/>
      </c>
      <c r="L448" s="9" t="n"/>
      <c r="M448" s="10" t="n"/>
      <c r="N448" s="10" t="n"/>
      <c r="O448" s="13">
        <f>IFERROR(IF(AND(M448&lt;&gt;"",F448&lt;&gt;"",I448&lt;&gt;""),IF(D448="Long",(M448-F448)*I448-IF(N448&lt;&gt;"",N448,0),IF(D448="Short",(F448-M448)*I448-IF(N448&lt;&gt;"",N448,0),"")),""),"")</f>
        <v/>
      </c>
      <c r="P448" s="14">
        <f>IFERROR(IF(AND(O448&lt;&gt;"",F448&lt;&gt;"",I448&lt;&gt;""),O448/(F448*I448),""),"")</f>
        <v/>
      </c>
      <c r="Q448" s="15">
        <f>IFERROR(IF(AND(O448&lt;&gt;"",J448&lt;&gt;"",J448&lt;&gt;0),O448/J448,""),"")</f>
        <v/>
      </c>
      <c r="R448" s="16">
        <f>IFERROR(IF(AND(L448&lt;&gt;"",B448&lt;&gt;""),L448-B448,""),"")</f>
        <v/>
      </c>
      <c r="S448" s="8" t="n"/>
      <c r="T448" s="8" t="n"/>
      <c r="U448" s="17">
        <f>IF(O448&lt;&gt;"",447,"")</f>
        <v/>
      </c>
      <c r="V448" s="18">
        <f>IF(O448&lt;&gt;"",V447+O448,V447)</f>
        <v/>
      </c>
    </row>
    <row r="449">
      <c r="A449" s="19" t="n"/>
      <c r="B449" s="20" t="n"/>
      <c r="C449" s="19" t="n"/>
      <c r="D449" s="19" t="n"/>
      <c r="E449" s="19" t="n"/>
      <c r="F449" s="21" t="n"/>
      <c r="G449" s="21" t="n"/>
      <c r="H449" s="21" t="n"/>
      <c r="I449" s="22" t="n"/>
      <c r="J449" s="21">
        <f>IFERROR(IF(AND(F449&lt;&gt;"",G449&lt;&gt;"",I449&lt;&gt;""),ABS(F449-G449)*I449,""),"")</f>
        <v/>
      </c>
      <c r="K449" s="23">
        <f>IFERROR(IF(AND(F449&lt;&gt;"",G449&lt;&gt;"",H449&lt;&gt;""),ABS(H449-F449)/ABS(F449-G449),""),"")</f>
        <v/>
      </c>
      <c r="L449" s="20" t="n"/>
      <c r="M449" s="21" t="n"/>
      <c r="N449" s="21" t="n"/>
      <c r="O449" s="24">
        <f>IFERROR(IF(AND(M449&lt;&gt;"",F449&lt;&gt;"",I449&lt;&gt;""),IF(D449="Long",(M449-F449)*I449-IF(N449&lt;&gt;"",N449,0),IF(D449="Short",(F449-M449)*I449-IF(N449&lt;&gt;"",N449,0),"")),""),"")</f>
        <v/>
      </c>
      <c r="P449" s="25">
        <f>IFERROR(IF(AND(O449&lt;&gt;"",F449&lt;&gt;"",I449&lt;&gt;""),O449/(F449*I449),""),"")</f>
        <v/>
      </c>
      <c r="Q449" s="26">
        <f>IFERROR(IF(AND(O449&lt;&gt;"",J449&lt;&gt;"",J449&lt;&gt;0),O449/J449,""),"")</f>
        <v/>
      </c>
      <c r="R449" s="27">
        <f>IFERROR(IF(AND(L449&lt;&gt;"",B449&lt;&gt;""),L449-B449,""),"")</f>
        <v/>
      </c>
      <c r="S449" s="19" t="n"/>
      <c r="T449" s="19" t="n"/>
      <c r="U449" s="17">
        <f>IF(O449&lt;&gt;"",448,"")</f>
        <v/>
      </c>
      <c r="V449" s="18">
        <f>IF(O449&lt;&gt;"",V448+O449,V448)</f>
        <v/>
      </c>
    </row>
    <row r="450">
      <c r="A450" s="8" t="n"/>
      <c r="B450" s="9" t="n"/>
      <c r="C450" s="8" t="n"/>
      <c r="D450" s="8" t="n"/>
      <c r="E450" s="8" t="n"/>
      <c r="F450" s="10" t="n"/>
      <c r="G450" s="10" t="n"/>
      <c r="H450" s="10" t="n"/>
      <c r="I450" s="11" t="n"/>
      <c r="J450" s="10">
        <f>IFERROR(IF(AND(F450&lt;&gt;"",G450&lt;&gt;"",I450&lt;&gt;""),ABS(F450-G450)*I450,""),"")</f>
        <v/>
      </c>
      <c r="K450" s="12">
        <f>IFERROR(IF(AND(F450&lt;&gt;"",G450&lt;&gt;"",H450&lt;&gt;""),ABS(H450-F450)/ABS(F450-G450),""),"")</f>
        <v/>
      </c>
      <c r="L450" s="9" t="n"/>
      <c r="M450" s="10" t="n"/>
      <c r="N450" s="10" t="n"/>
      <c r="O450" s="13">
        <f>IFERROR(IF(AND(M450&lt;&gt;"",F450&lt;&gt;"",I450&lt;&gt;""),IF(D450="Long",(M450-F450)*I450-IF(N450&lt;&gt;"",N450,0),IF(D450="Short",(F450-M450)*I450-IF(N450&lt;&gt;"",N450,0),"")),""),"")</f>
        <v/>
      </c>
      <c r="P450" s="14">
        <f>IFERROR(IF(AND(O450&lt;&gt;"",F450&lt;&gt;"",I450&lt;&gt;""),O450/(F450*I450),""),"")</f>
        <v/>
      </c>
      <c r="Q450" s="15">
        <f>IFERROR(IF(AND(O450&lt;&gt;"",J450&lt;&gt;"",J450&lt;&gt;0),O450/J450,""),"")</f>
        <v/>
      </c>
      <c r="R450" s="16">
        <f>IFERROR(IF(AND(L450&lt;&gt;"",B450&lt;&gt;""),L450-B450,""),"")</f>
        <v/>
      </c>
      <c r="S450" s="8" t="n"/>
      <c r="T450" s="8" t="n"/>
      <c r="U450" s="17">
        <f>IF(O450&lt;&gt;"",449,"")</f>
        <v/>
      </c>
      <c r="V450" s="18">
        <f>IF(O450&lt;&gt;"",V449+O450,V449)</f>
        <v/>
      </c>
    </row>
    <row r="451">
      <c r="A451" s="19" t="n"/>
      <c r="B451" s="20" t="n"/>
      <c r="C451" s="19" t="n"/>
      <c r="D451" s="19" t="n"/>
      <c r="E451" s="19" t="n"/>
      <c r="F451" s="21" t="n"/>
      <c r="G451" s="21" t="n"/>
      <c r="H451" s="21" t="n"/>
      <c r="I451" s="22" t="n"/>
      <c r="J451" s="21">
        <f>IFERROR(IF(AND(F451&lt;&gt;"",G451&lt;&gt;"",I451&lt;&gt;""),ABS(F451-G451)*I451,""),"")</f>
        <v/>
      </c>
      <c r="K451" s="23">
        <f>IFERROR(IF(AND(F451&lt;&gt;"",G451&lt;&gt;"",H451&lt;&gt;""),ABS(H451-F451)/ABS(F451-G451),""),"")</f>
        <v/>
      </c>
      <c r="L451" s="20" t="n"/>
      <c r="M451" s="21" t="n"/>
      <c r="N451" s="21" t="n"/>
      <c r="O451" s="24">
        <f>IFERROR(IF(AND(M451&lt;&gt;"",F451&lt;&gt;"",I451&lt;&gt;""),IF(D451="Long",(M451-F451)*I451-IF(N451&lt;&gt;"",N451,0),IF(D451="Short",(F451-M451)*I451-IF(N451&lt;&gt;"",N451,0),"")),""),"")</f>
        <v/>
      </c>
      <c r="P451" s="25">
        <f>IFERROR(IF(AND(O451&lt;&gt;"",F451&lt;&gt;"",I451&lt;&gt;""),O451/(F451*I451),""),"")</f>
        <v/>
      </c>
      <c r="Q451" s="26">
        <f>IFERROR(IF(AND(O451&lt;&gt;"",J451&lt;&gt;"",J451&lt;&gt;0),O451/J451,""),"")</f>
        <v/>
      </c>
      <c r="R451" s="27">
        <f>IFERROR(IF(AND(L451&lt;&gt;"",B451&lt;&gt;""),L451-B451,""),"")</f>
        <v/>
      </c>
      <c r="S451" s="19" t="n"/>
      <c r="T451" s="19" t="n"/>
      <c r="U451" s="17">
        <f>IF(O451&lt;&gt;"",450,"")</f>
        <v/>
      </c>
      <c r="V451" s="18">
        <f>IF(O451&lt;&gt;"",V450+O451,V450)</f>
        <v/>
      </c>
    </row>
    <row r="452">
      <c r="A452" s="8" t="n"/>
      <c r="B452" s="9" t="n"/>
      <c r="C452" s="8" t="n"/>
      <c r="D452" s="8" t="n"/>
      <c r="E452" s="8" t="n"/>
      <c r="F452" s="10" t="n"/>
      <c r="G452" s="10" t="n"/>
      <c r="H452" s="10" t="n"/>
      <c r="I452" s="11" t="n"/>
      <c r="J452" s="10">
        <f>IFERROR(IF(AND(F452&lt;&gt;"",G452&lt;&gt;"",I452&lt;&gt;""),ABS(F452-G452)*I452,""),"")</f>
        <v/>
      </c>
      <c r="K452" s="12">
        <f>IFERROR(IF(AND(F452&lt;&gt;"",G452&lt;&gt;"",H452&lt;&gt;""),ABS(H452-F452)/ABS(F452-G452),""),"")</f>
        <v/>
      </c>
      <c r="L452" s="9" t="n"/>
      <c r="M452" s="10" t="n"/>
      <c r="N452" s="10" t="n"/>
      <c r="O452" s="13">
        <f>IFERROR(IF(AND(M452&lt;&gt;"",F452&lt;&gt;"",I452&lt;&gt;""),IF(D452="Long",(M452-F452)*I452-IF(N452&lt;&gt;"",N452,0),IF(D452="Short",(F452-M452)*I452-IF(N452&lt;&gt;"",N452,0),"")),""),"")</f>
        <v/>
      </c>
      <c r="P452" s="14">
        <f>IFERROR(IF(AND(O452&lt;&gt;"",F452&lt;&gt;"",I452&lt;&gt;""),O452/(F452*I452),""),"")</f>
        <v/>
      </c>
      <c r="Q452" s="15">
        <f>IFERROR(IF(AND(O452&lt;&gt;"",J452&lt;&gt;"",J452&lt;&gt;0),O452/J452,""),"")</f>
        <v/>
      </c>
      <c r="R452" s="16">
        <f>IFERROR(IF(AND(L452&lt;&gt;"",B452&lt;&gt;""),L452-B452,""),"")</f>
        <v/>
      </c>
      <c r="S452" s="8" t="n"/>
      <c r="T452" s="8" t="n"/>
      <c r="U452" s="17">
        <f>IF(O452&lt;&gt;"",451,"")</f>
        <v/>
      </c>
      <c r="V452" s="18">
        <f>IF(O452&lt;&gt;"",V451+O452,V451)</f>
        <v/>
      </c>
    </row>
    <row r="453">
      <c r="A453" s="19" t="n"/>
      <c r="B453" s="20" t="n"/>
      <c r="C453" s="19" t="n"/>
      <c r="D453" s="19" t="n"/>
      <c r="E453" s="19" t="n"/>
      <c r="F453" s="21" t="n"/>
      <c r="G453" s="21" t="n"/>
      <c r="H453" s="21" t="n"/>
      <c r="I453" s="22" t="n"/>
      <c r="J453" s="21">
        <f>IFERROR(IF(AND(F453&lt;&gt;"",G453&lt;&gt;"",I453&lt;&gt;""),ABS(F453-G453)*I453,""),"")</f>
        <v/>
      </c>
      <c r="K453" s="23">
        <f>IFERROR(IF(AND(F453&lt;&gt;"",G453&lt;&gt;"",H453&lt;&gt;""),ABS(H453-F453)/ABS(F453-G453),""),"")</f>
        <v/>
      </c>
      <c r="L453" s="20" t="n"/>
      <c r="M453" s="21" t="n"/>
      <c r="N453" s="21" t="n"/>
      <c r="O453" s="24">
        <f>IFERROR(IF(AND(M453&lt;&gt;"",F453&lt;&gt;"",I453&lt;&gt;""),IF(D453="Long",(M453-F453)*I453-IF(N453&lt;&gt;"",N453,0),IF(D453="Short",(F453-M453)*I453-IF(N453&lt;&gt;"",N453,0),"")),""),"")</f>
        <v/>
      </c>
      <c r="P453" s="25">
        <f>IFERROR(IF(AND(O453&lt;&gt;"",F453&lt;&gt;"",I453&lt;&gt;""),O453/(F453*I453),""),"")</f>
        <v/>
      </c>
      <c r="Q453" s="26">
        <f>IFERROR(IF(AND(O453&lt;&gt;"",J453&lt;&gt;"",J453&lt;&gt;0),O453/J453,""),"")</f>
        <v/>
      </c>
      <c r="R453" s="27">
        <f>IFERROR(IF(AND(L453&lt;&gt;"",B453&lt;&gt;""),L453-B453,""),"")</f>
        <v/>
      </c>
      <c r="S453" s="19" t="n"/>
      <c r="T453" s="19" t="n"/>
      <c r="U453" s="17">
        <f>IF(O453&lt;&gt;"",452,"")</f>
        <v/>
      </c>
      <c r="V453" s="18">
        <f>IF(O453&lt;&gt;"",V452+O453,V452)</f>
        <v/>
      </c>
    </row>
    <row r="454">
      <c r="A454" s="8" t="n"/>
      <c r="B454" s="9" t="n"/>
      <c r="C454" s="8" t="n"/>
      <c r="D454" s="8" t="n"/>
      <c r="E454" s="8" t="n"/>
      <c r="F454" s="10" t="n"/>
      <c r="G454" s="10" t="n"/>
      <c r="H454" s="10" t="n"/>
      <c r="I454" s="11" t="n"/>
      <c r="J454" s="10">
        <f>IFERROR(IF(AND(F454&lt;&gt;"",G454&lt;&gt;"",I454&lt;&gt;""),ABS(F454-G454)*I454,""),"")</f>
        <v/>
      </c>
      <c r="K454" s="12">
        <f>IFERROR(IF(AND(F454&lt;&gt;"",G454&lt;&gt;"",H454&lt;&gt;""),ABS(H454-F454)/ABS(F454-G454),""),"")</f>
        <v/>
      </c>
      <c r="L454" s="9" t="n"/>
      <c r="M454" s="10" t="n"/>
      <c r="N454" s="10" t="n"/>
      <c r="O454" s="13">
        <f>IFERROR(IF(AND(M454&lt;&gt;"",F454&lt;&gt;"",I454&lt;&gt;""),IF(D454="Long",(M454-F454)*I454-IF(N454&lt;&gt;"",N454,0),IF(D454="Short",(F454-M454)*I454-IF(N454&lt;&gt;"",N454,0),"")),""),"")</f>
        <v/>
      </c>
      <c r="P454" s="14">
        <f>IFERROR(IF(AND(O454&lt;&gt;"",F454&lt;&gt;"",I454&lt;&gt;""),O454/(F454*I454),""),"")</f>
        <v/>
      </c>
      <c r="Q454" s="15">
        <f>IFERROR(IF(AND(O454&lt;&gt;"",J454&lt;&gt;"",J454&lt;&gt;0),O454/J454,""),"")</f>
        <v/>
      </c>
      <c r="R454" s="16">
        <f>IFERROR(IF(AND(L454&lt;&gt;"",B454&lt;&gt;""),L454-B454,""),"")</f>
        <v/>
      </c>
      <c r="S454" s="8" t="n"/>
      <c r="T454" s="8" t="n"/>
      <c r="U454" s="17">
        <f>IF(O454&lt;&gt;"",453,"")</f>
        <v/>
      </c>
      <c r="V454" s="18">
        <f>IF(O454&lt;&gt;"",V453+O454,V453)</f>
        <v/>
      </c>
    </row>
    <row r="455">
      <c r="A455" s="19" t="n"/>
      <c r="B455" s="20" t="n"/>
      <c r="C455" s="19" t="n"/>
      <c r="D455" s="19" t="n"/>
      <c r="E455" s="19" t="n"/>
      <c r="F455" s="21" t="n"/>
      <c r="G455" s="21" t="n"/>
      <c r="H455" s="21" t="n"/>
      <c r="I455" s="22" t="n"/>
      <c r="J455" s="21">
        <f>IFERROR(IF(AND(F455&lt;&gt;"",G455&lt;&gt;"",I455&lt;&gt;""),ABS(F455-G455)*I455,""),"")</f>
        <v/>
      </c>
      <c r="K455" s="23">
        <f>IFERROR(IF(AND(F455&lt;&gt;"",G455&lt;&gt;"",H455&lt;&gt;""),ABS(H455-F455)/ABS(F455-G455),""),"")</f>
        <v/>
      </c>
      <c r="L455" s="20" t="n"/>
      <c r="M455" s="21" t="n"/>
      <c r="N455" s="21" t="n"/>
      <c r="O455" s="24">
        <f>IFERROR(IF(AND(M455&lt;&gt;"",F455&lt;&gt;"",I455&lt;&gt;""),IF(D455="Long",(M455-F455)*I455-IF(N455&lt;&gt;"",N455,0),IF(D455="Short",(F455-M455)*I455-IF(N455&lt;&gt;"",N455,0),"")),""),"")</f>
        <v/>
      </c>
      <c r="P455" s="25">
        <f>IFERROR(IF(AND(O455&lt;&gt;"",F455&lt;&gt;"",I455&lt;&gt;""),O455/(F455*I455),""),"")</f>
        <v/>
      </c>
      <c r="Q455" s="26">
        <f>IFERROR(IF(AND(O455&lt;&gt;"",J455&lt;&gt;"",J455&lt;&gt;0),O455/J455,""),"")</f>
        <v/>
      </c>
      <c r="R455" s="27">
        <f>IFERROR(IF(AND(L455&lt;&gt;"",B455&lt;&gt;""),L455-B455,""),"")</f>
        <v/>
      </c>
      <c r="S455" s="19" t="n"/>
      <c r="T455" s="19" t="n"/>
      <c r="U455" s="17">
        <f>IF(O455&lt;&gt;"",454,"")</f>
        <v/>
      </c>
      <c r="V455" s="18">
        <f>IF(O455&lt;&gt;"",V454+O455,V454)</f>
        <v/>
      </c>
    </row>
    <row r="456">
      <c r="A456" s="8" t="n"/>
      <c r="B456" s="9" t="n"/>
      <c r="C456" s="8" t="n"/>
      <c r="D456" s="8" t="n"/>
      <c r="E456" s="8" t="n"/>
      <c r="F456" s="10" t="n"/>
      <c r="G456" s="10" t="n"/>
      <c r="H456" s="10" t="n"/>
      <c r="I456" s="11" t="n"/>
      <c r="J456" s="10">
        <f>IFERROR(IF(AND(F456&lt;&gt;"",G456&lt;&gt;"",I456&lt;&gt;""),ABS(F456-G456)*I456,""),"")</f>
        <v/>
      </c>
      <c r="K456" s="12">
        <f>IFERROR(IF(AND(F456&lt;&gt;"",G456&lt;&gt;"",H456&lt;&gt;""),ABS(H456-F456)/ABS(F456-G456),""),"")</f>
        <v/>
      </c>
      <c r="L456" s="9" t="n"/>
      <c r="M456" s="10" t="n"/>
      <c r="N456" s="10" t="n"/>
      <c r="O456" s="13">
        <f>IFERROR(IF(AND(M456&lt;&gt;"",F456&lt;&gt;"",I456&lt;&gt;""),IF(D456="Long",(M456-F456)*I456-IF(N456&lt;&gt;"",N456,0),IF(D456="Short",(F456-M456)*I456-IF(N456&lt;&gt;"",N456,0),"")),""),"")</f>
        <v/>
      </c>
      <c r="P456" s="14">
        <f>IFERROR(IF(AND(O456&lt;&gt;"",F456&lt;&gt;"",I456&lt;&gt;""),O456/(F456*I456),""),"")</f>
        <v/>
      </c>
      <c r="Q456" s="15">
        <f>IFERROR(IF(AND(O456&lt;&gt;"",J456&lt;&gt;"",J456&lt;&gt;0),O456/J456,""),"")</f>
        <v/>
      </c>
      <c r="R456" s="16">
        <f>IFERROR(IF(AND(L456&lt;&gt;"",B456&lt;&gt;""),L456-B456,""),"")</f>
        <v/>
      </c>
      <c r="S456" s="8" t="n"/>
      <c r="T456" s="8" t="n"/>
      <c r="U456" s="17">
        <f>IF(O456&lt;&gt;"",455,"")</f>
        <v/>
      </c>
      <c r="V456" s="18">
        <f>IF(O456&lt;&gt;"",V455+O456,V455)</f>
        <v/>
      </c>
    </row>
    <row r="457">
      <c r="A457" s="19" t="n"/>
      <c r="B457" s="20" t="n"/>
      <c r="C457" s="19" t="n"/>
      <c r="D457" s="19" t="n"/>
      <c r="E457" s="19" t="n"/>
      <c r="F457" s="21" t="n"/>
      <c r="G457" s="21" t="n"/>
      <c r="H457" s="21" t="n"/>
      <c r="I457" s="22" t="n"/>
      <c r="J457" s="21">
        <f>IFERROR(IF(AND(F457&lt;&gt;"",G457&lt;&gt;"",I457&lt;&gt;""),ABS(F457-G457)*I457,""),"")</f>
        <v/>
      </c>
      <c r="K457" s="23">
        <f>IFERROR(IF(AND(F457&lt;&gt;"",G457&lt;&gt;"",H457&lt;&gt;""),ABS(H457-F457)/ABS(F457-G457),""),"")</f>
        <v/>
      </c>
      <c r="L457" s="20" t="n"/>
      <c r="M457" s="21" t="n"/>
      <c r="N457" s="21" t="n"/>
      <c r="O457" s="24">
        <f>IFERROR(IF(AND(M457&lt;&gt;"",F457&lt;&gt;"",I457&lt;&gt;""),IF(D457="Long",(M457-F457)*I457-IF(N457&lt;&gt;"",N457,0),IF(D457="Short",(F457-M457)*I457-IF(N457&lt;&gt;"",N457,0),"")),""),"")</f>
        <v/>
      </c>
      <c r="P457" s="25">
        <f>IFERROR(IF(AND(O457&lt;&gt;"",F457&lt;&gt;"",I457&lt;&gt;""),O457/(F457*I457),""),"")</f>
        <v/>
      </c>
      <c r="Q457" s="26">
        <f>IFERROR(IF(AND(O457&lt;&gt;"",J457&lt;&gt;"",J457&lt;&gt;0),O457/J457,""),"")</f>
        <v/>
      </c>
      <c r="R457" s="27">
        <f>IFERROR(IF(AND(L457&lt;&gt;"",B457&lt;&gt;""),L457-B457,""),"")</f>
        <v/>
      </c>
      <c r="S457" s="19" t="n"/>
      <c r="T457" s="19" t="n"/>
      <c r="U457" s="17">
        <f>IF(O457&lt;&gt;"",456,"")</f>
        <v/>
      </c>
      <c r="V457" s="18">
        <f>IF(O457&lt;&gt;"",V456+O457,V456)</f>
        <v/>
      </c>
    </row>
    <row r="458">
      <c r="A458" s="8" t="n"/>
      <c r="B458" s="9" t="n"/>
      <c r="C458" s="8" t="n"/>
      <c r="D458" s="8" t="n"/>
      <c r="E458" s="8" t="n"/>
      <c r="F458" s="10" t="n"/>
      <c r="G458" s="10" t="n"/>
      <c r="H458" s="10" t="n"/>
      <c r="I458" s="11" t="n"/>
      <c r="J458" s="10">
        <f>IFERROR(IF(AND(F458&lt;&gt;"",G458&lt;&gt;"",I458&lt;&gt;""),ABS(F458-G458)*I458,""),"")</f>
        <v/>
      </c>
      <c r="K458" s="12">
        <f>IFERROR(IF(AND(F458&lt;&gt;"",G458&lt;&gt;"",H458&lt;&gt;""),ABS(H458-F458)/ABS(F458-G458),""),"")</f>
        <v/>
      </c>
      <c r="L458" s="9" t="n"/>
      <c r="M458" s="10" t="n"/>
      <c r="N458" s="10" t="n"/>
      <c r="O458" s="13">
        <f>IFERROR(IF(AND(M458&lt;&gt;"",F458&lt;&gt;"",I458&lt;&gt;""),IF(D458="Long",(M458-F458)*I458-IF(N458&lt;&gt;"",N458,0),IF(D458="Short",(F458-M458)*I458-IF(N458&lt;&gt;"",N458,0),"")),""),"")</f>
        <v/>
      </c>
      <c r="P458" s="14">
        <f>IFERROR(IF(AND(O458&lt;&gt;"",F458&lt;&gt;"",I458&lt;&gt;""),O458/(F458*I458),""),"")</f>
        <v/>
      </c>
      <c r="Q458" s="15">
        <f>IFERROR(IF(AND(O458&lt;&gt;"",J458&lt;&gt;"",J458&lt;&gt;0),O458/J458,""),"")</f>
        <v/>
      </c>
      <c r="R458" s="16">
        <f>IFERROR(IF(AND(L458&lt;&gt;"",B458&lt;&gt;""),L458-B458,""),"")</f>
        <v/>
      </c>
      <c r="S458" s="8" t="n"/>
      <c r="T458" s="8" t="n"/>
      <c r="U458" s="17">
        <f>IF(O458&lt;&gt;"",457,"")</f>
        <v/>
      </c>
      <c r="V458" s="18">
        <f>IF(O458&lt;&gt;"",V457+O458,V457)</f>
        <v/>
      </c>
    </row>
    <row r="459">
      <c r="A459" s="19" t="n"/>
      <c r="B459" s="20" t="n"/>
      <c r="C459" s="19" t="n"/>
      <c r="D459" s="19" t="n"/>
      <c r="E459" s="19" t="n"/>
      <c r="F459" s="21" t="n"/>
      <c r="G459" s="21" t="n"/>
      <c r="H459" s="21" t="n"/>
      <c r="I459" s="22" t="n"/>
      <c r="J459" s="21">
        <f>IFERROR(IF(AND(F459&lt;&gt;"",G459&lt;&gt;"",I459&lt;&gt;""),ABS(F459-G459)*I459,""),"")</f>
        <v/>
      </c>
      <c r="K459" s="23">
        <f>IFERROR(IF(AND(F459&lt;&gt;"",G459&lt;&gt;"",H459&lt;&gt;""),ABS(H459-F459)/ABS(F459-G459),""),"")</f>
        <v/>
      </c>
      <c r="L459" s="20" t="n"/>
      <c r="M459" s="21" t="n"/>
      <c r="N459" s="21" t="n"/>
      <c r="O459" s="24">
        <f>IFERROR(IF(AND(M459&lt;&gt;"",F459&lt;&gt;"",I459&lt;&gt;""),IF(D459="Long",(M459-F459)*I459-IF(N459&lt;&gt;"",N459,0),IF(D459="Short",(F459-M459)*I459-IF(N459&lt;&gt;"",N459,0),"")),""),"")</f>
        <v/>
      </c>
      <c r="P459" s="25">
        <f>IFERROR(IF(AND(O459&lt;&gt;"",F459&lt;&gt;"",I459&lt;&gt;""),O459/(F459*I459),""),"")</f>
        <v/>
      </c>
      <c r="Q459" s="26">
        <f>IFERROR(IF(AND(O459&lt;&gt;"",J459&lt;&gt;"",J459&lt;&gt;0),O459/J459,""),"")</f>
        <v/>
      </c>
      <c r="R459" s="27">
        <f>IFERROR(IF(AND(L459&lt;&gt;"",B459&lt;&gt;""),L459-B459,""),"")</f>
        <v/>
      </c>
      <c r="S459" s="19" t="n"/>
      <c r="T459" s="19" t="n"/>
      <c r="U459" s="17">
        <f>IF(O459&lt;&gt;"",458,"")</f>
        <v/>
      </c>
      <c r="V459" s="18">
        <f>IF(O459&lt;&gt;"",V458+O459,V458)</f>
        <v/>
      </c>
    </row>
    <row r="460">
      <c r="A460" s="8" t="n"/>
      <c r="B460" s="9" t="n"/>
      <c r="C460" s="8" t="n"/>
      <c r="D460" s="8" t="n"/>
      <c r="E460" s="8" t="n"/>
      <c r="F460" s="10" t="n"/>
      <c r="G460" s="10" t="n"/>
      <c r="H460" s="10" t="n"/>
      <c r="I460" s="11" t="n"/>
      <c r="J460" s="10">
        <f>IFERROR(IF(AND(F460&lt;&gt;"",G460&lt;&gt;"",I460&lt;&gt;""),ABS(F460-G460)*I460,""),"")</f>
        <v/>
      </c>
      <c r="K460" s="12">
        <f>IFERROR(IF(AND(F460&lt;&gt;"",G460&lt;&gt;"",H460&lt;&gt;""),ABS(H460-F460)/ABS(F460-G460),""),"")</f>
        <v/>
      </c>
      <c r="L460" s="9" t="n"/>
      <c r="M460" s="10" t="n"/>
      <c r="N460" s="10" t="n"/>
      <c r="O460" s="13">
        <f>IFERROR(IF(AND(M460&lt;&gt;"",F460&lt;&gt;"",I460&lt;&gt;""),IF(D460="Long",(M460-F460)*I460-IF(N460&lt;&gt;"",N460,0),IF(D460="Short",(F460-M460)*I460-IF(N460&lt;&gt;"",N460,0),"")),""),"")</f>
        <v/>
      </c>
      <c r="P460" s="14">
        <f>IFERROR(IF(AND(O460&lt;&gt;"",F460&lt;&gt;"",I460&lt;&gt;""),O460/(F460*I460),""),"")</f>
        <v/>
      </c>
      <c r="Q460" s="15">
        <f>IFERROR(IF(AND(O460&lt;&gt;"",J460&lt;&gt;"",J460&lt;&gt;0),O460/J460,""),"")</f>
        <v/>
      </c>
      <c r="R460" s="16">
        <f>IFERROR(IF(AND(L460&lt;&gt;"",B460&lt;&gt;""),L460-B460,""),"")</f>
        <v/>
      </c>
      <c r="S460" s="8" t="n"/>
      <c r="T460" s="8" t="n"/>
      <c r="U460" s="17">
        <f>IF(O460&lt;&gt;"",459,"")</f>
        <v/>
      </c>
      <c r="V460" s="18">
        <f>IF(O460&lt;&gt;"",V459+O460,V459)</f>
        <v/>
      </c>
    </row>
    <row r="461">
      <c r="A461" s="19" t="n"/>
      <c r="B461" s="20" t="n"/>
      <c r="C461" s="19" t="n"/>
      <c r="D461" s="19" t="n"/>
      <c r="E461" s="19" t="n"/>
      <c r="F461" s="21" t="n"/>
      <c r="G461" s="21" t="n"/>
      <c r="H461" s="21" t="n"/>
      <c r="I461" s="22" t="n"/>
      <c r="J461" s="21">
        <f>IFERROR(IF(AND(F461&lt;&gt;"",G461&lt;&gt;"",I461&lt;&gt;""),ABS(F461-G461)*I461,""),"")</f>
        <v/>
      </c>
      <c r="K461" s="23">
        <f>IFERROR(IF(AND(F461&lt;&gt;"",G461&lt;&gt;"",H461&lt;&gt;""),ABS(H461-F461)/ABS(F461-G461),""),"")</f>
        <v/>
      </c>
      <c r="L461" s="20" t="n"/>
      <c r="M461" s="21" t="n"/>
      <c r="N461" s="21" t="n"/>
      <c r="O461" s="24">
        <f>IFERROR(IF(AND(M461&lt;&gt;"",F461&lt;&gt;"",I461&lt;&gt;""),IF(D461="Long",(M461-F461)*I461-IF(N461&lt;&gt;"",N461,0),IF(D461="Short",(F461-M461)*I461-IF(N461&lt;&gt;"",N461,0),"")),""),"")</f>
        <v/>
      </c>
      <c r="P461" s="25">
        <f>IFERROR(IF(AND(O461&lt;&gt;"",F461&lt;&gt;"",I461&lt;&gt;""),O461/(F461*I461),""),"")</f>
        <v/>
      </c>
      <c r="Q461" s="26">
        <f>IFERROR(IF(AND(O461&lt;&gt;"",J461&lt;&gt;"",J461&lt;&gt;0),O461/J461,""),"")</f>
        <v/>
      </c>
      <c r="R461" s="27">
        <f>IFERROR(IF(AND(L461&lt;&gt;"",B461&lt;&gt;""),L461-B461,""),"")</f>
        <v/>
      </c>
      <c r="S461" s="19" t="n"/>
      <c r="T461" s="19" t="n"/>
      <c r="U461" s="17">
        <f>IF(O461&lt;&gt;"",460,"")</f>
        <v/>
      </c>
      <c r="V461" s="18">
        <f>IF(O461&lt;&gt;"",V460+O461,V460)</f>
        <v/>
      </c>
    </row>
    <row r="462">
      <c r="A462" s="8" t="n"/>
      <c r="B462" s="9" t="n"/>
      <c r="C462" s="8" t="n"/>
      <c r="D462" s="8" t="n"/>
      <c r="E462" s="8" t="n"/>
      <c r="F462" s="10" t="n"/>
      <c r="G462" s="10" t="n"/>
      <c r="H462" s="10" t="n"/>
      <c r="I462" s="11" t="n"/>
      <c r="J462" s="10">
        <f>IFERROR(IF(AND(F462&lt;&gt;"",G462&lt;&gt;"",I462&lt;&gt;""),ABS(F462-G462)*I462,""),"")</f>
        <v/>
      </c>
      <c r="K462" s="12">
        <f>IFERROR(IF(AND(F462&lt;&gt;"",G462&lt;&gt;"",H462&lt;&gt;""),ABS(H462-F462)/ABS(F462-G462),""),"")</f>
        <v/>
      </c>
      <c r="L462" s="9" t="n"/>
      <c r="M462" s="10" t="n"/>
      <c r="N462" s="10" t="n"/>
      <c r="O462" s="13">
        <f>IFERROR(IF(AND(M462&lt;&gt;"",F462&lt;&gt;"",I462&lt;&gt;""),IF(D462="Long",(M462-F462)*I462-IF(N462&lt;&gt;"",N462,0),IF(D462="Short",(F462-M462)*I462-IF(N462&lt;&gt;"",N462,0),"")),""),"")</f>
        <v/>
      </c>
      <c r="P462" s="14">
        <f>IFERROR(IF(AND(O462&lt;&gt;"",F462&lt;&gt;"",I462&lt;&gt;""),O462/(F462*I462),""),"")</f>
        <v/>
      </c>
      <c r="Q462" s="15">
        <f>IFERROR(IF(AND(O462&lt;&gt;"",J462&lt;&gt;"",J462&lt;&gt;0),O462/J462,""),"")</f>
        <v/>
      </c>
      <c r="R462" s="16">
        <f>IFERROR(IF(AND(L462&lt;&gt;"",B462&lt;&gt;""),L462-B462,""),"")</f>
        <v/>
      </c>
      <c r="S462" s="8" t="n"/>
      <c r="T462" s="8" t="n"/>
      <c r="U462" s="17">
        <f>IF(O462&lt;&gt;"",461,"")</f>
        <v/>
      </c>
      <c r="V462" s="18">
        <f>IF(O462&lt;&gt;"",V461+O462,V461)</f>
        <v/>
      </c>
    </row>
    <row r="463">
      <c r="A463" s="19" t="n"/>
      <c r="B463" s="20" t="n"/>
      <c r="C463" s="19" t="n"/>
      <c r="D463" s="19" t="n"/>
      <c r="E463" s="19" t="n"/>
      <c r="F463" s="21" t="n"/>
      <c r="G463" s="21" t="n"/>
      <c r="H463" s="21" t="n"/>
      <c r="I463" s="22" t="n"/>
      <c r="J463" s="21">
        <f>IFERROR(IF(AND(F463&lt;&gt;"",G463&lt;&gt;"",I463&lt;&gt;""),ABS(F463-G463)*I463,""),"")</f>
        <v/>
      </c>
      <c r="K463" s="23">
        <f>IFERROR(IF(AND(F463&lt;&gt;"",G463&lt;&gt;"",H463&lt;&gt;""),ABS(H463-F463)/ABS(F463-G463),""),"")</f>
        <v/>
      </c>
      <c r="L463" s="20" t="n"/>
      <c r="M463" s="21" t="n"/>
      <c r="N463" s="21" t="n"/>
      <c r="O463" s="24">
        <f>IFERROR(IF(AND(M463&lt;&gt;"",F463&lt;&gt;"",I463&lt;&gt;""),IF(D463="Long",(M463-F463)*I463-IF(N463&lt;&gt;"",N463,0),IF(D463="Short",(F463-M463)*I463-IF(N463&lt;&gt;"",N463,0),"")),""),"")</f>
        <v/>
      </c>
      <c r="P463" s="25">
        <f>IFERROR(IF(AND(O463&lt;&gt;"",F463&lt;&gt;"",I463&lt;&gt;""),O463/(F463*I463),""),"")</f>
        <v/>
      </c>
      <c r="Q463" s="26">
        <f>IFERROR(IF(AND(O463&lt;&gt;"",J463&lt;&gt;"",J463&lt;&gt;0),O463/J463,""),"")</f>
        <v/>
      </c>
      <c r="R463" s="27">
        <f>IFERROR(IF(AND(L463&lt;&gt;"",B463&lt;&gt;""),L463-B463,""),"")</f>
        <v/>
      </c>
      <c r="S463" s="19" t="n"/>
      <c r="T463" s="19" t="n"/>
      <c r="U463" s="17">
        <f>IF(O463&lt;&gt;"",462,"")</f>
        <v/>
      </c>
      <c r="V463" s="18">
        <f>IF(O463&lt;&gt;"",V462+O463,V462)</f>
        <v/>
      </c>
    </row>
    <row r="464">
      <c r="A464" s="8" t="n"/>
      <c r="B464" s="9" t="n"/>
      <c r="C464" s="8" t="n"/>
      <c r="D464" s="8" t="n"/>
      <c r="E464" s="8" t="n"/>
      <c r="F464" s="10" t="n"/>
      <c r="G464" s="10" t="n"/>
      <c r="H464" s="10" t="n"/>
      <c r="I464" s="11" t="n"/>
      <c r="J464" s="10">
        <f>IFERROR(IF(AND(F464&lt;&gt;"",G464&lt;&gt;"",I464&lt;&gt;""),ABS(F464-G464)*I464,""),"")</f>
        <v/>
      </c>
      <c r="K464" s="12">
        <f>IFERROR(IF(AND(F464&lt;&gt;"",G464&lt;&gt;"",H464&lt;&gt;""),ABS(H464-F464)/ABS(F464-G464),""),"")</f>
        <v/>
      </c>
      <c r="L464" s="9" t="n"/>
      <c r="M464" s="10" t="n"/>
      <c r="N464" s="10" t="n"/>
      <c r="O464" s="13">
        <f>IFERROR(IF(AND(M464&lt;&gt;"",F464&lt;&gt;"",I464&lt;&gt;""),IF(D464="Long",(M464-F464)*I464-IF(N464&lt;&gt;"",N464,0),IF(D464="Short",(F464-M464)*I464-IF(N464&lt;&gt;"",N464,0),"")),""),"")</f>
        <v/>
      </c>
      <c r="P464" s="14">
        <f>IFERROR(IF(AND(O464&lt;&gt;"",F464&lt;&gt;"",I464&lt;&gt;""),O464/(F464*I464),""),"")</f>
        <v/>
      </c>
      <c r="Q464" s="15">
        <f>IFERROR(IF(AND(O464&lt;&gt;"",J464&lt;&gt;"",J464&lt;&gt;0),O464/J464,""),"")</f>
        <v/>
      </c>
      <c r="R464" s="16">
        <f>IFERROR(IF(AND(L464&lt;&gt;"",B464&lt;&gt;""),L464-B464,""),"")</f>
        <v/>
      </c>
      <c r="S464" s="8" t="n"/>
      <c r="T464" s="8" t="n"/>
      <c r="U464" s="17">
        <f>IF(O464&lt;&gt;"",463,"")</f>
        <v/>
      </c>
      <c r="V464" s="18">
        <f>IF(O464&lt;&gt;"",V463+O464,V463)</f>
        <v/>
      </c>
    </row>
    <row r="465">
      <c r="A465" s="19" t="n"/>
      <c r="B465" s="20" t="n"/>
      <c r="C465" s="19" t="n"/>
      <c r="D465" s="19" t="n"/>
      <c r="E465" s="19" t="n"/>
      <c r="F465" s="21" t="n"/>
      <c r="G465" s="21" t="n"/>
      <c r="H465" s="21" t="n"/>
      <c r="I465" s="22" t="n"/>
      <c r="J465" s="21">
        <f>IFERROR(IF(AND(F465&lt;&gt;"",G465&lt;&gt;"",I465&lt;&gt;""),ABS(F465-G465)*I465,""),"")</f>
        <v/>
      </c>
      <c r="K465" s="23">
        <f>IFERROR(IF(AND(F465&lt;&gt;"",G465&lt;&gt;"",H465&lt;&gt;""),ABS(H465-F465)/ABS(F465-G465),""),"")</f>
        <v/>
      </c>
      <c r="L465" s="20" t="n"/>
      <c r="M465" s="21" t="n"/>
      <c r="N465" s="21" t="n"/>
      <c r="O465" s="24">
        <f>IFERROR(IF(AND(M465&lt;&gt;"",F465&lt;&gt;"",I465&lt;&gt;""),IF(D465="Long",(M465-F465)*I465-IF(N465&lt;&gt;"",N465,0),IF(D465="Short",(F465-M465)*I465-IF(N465&lt;&gt;"",N465,0),"")),""),"")</f>
        <v/>
      </c>
      <c r="P465" s="25">
        <f>IFERROR(IF(AND(O465&lt;&gt;"",F465&lt;&gt;"",I465&lt;&gt;""),O465/(F465*I465),""),"")</f>
        <v/>
      </c>
      <c r="Q465" s="26">
        <f>IFERROR(IF(AND(O465&lt;&gt;"",J465&lt;&gt;"",J465&lt;&gt;0),O465/J465,""),"")</f>
        <v/>
      </c>
      <c r="R465" s="27">
        <f>IFERROR(IF(AND(L465&lt;&gt;"",B465&lt;&gt;""),L465-B465,""),"")</f>
        <v/>
      </c>
      <c r="S465" s="19" t="n"/>
      <c r="T465" s="19" t="n"/>
      <c r="U465" s="17">
        <f>IF(O465&lt;&gt;"",464,"")</f>
        <v/>
      </c>
      <c r="V465" s="18">
        <f>IF(O465&lt;&gt;"",V464+O465,V464)</f>
        <v/>
      </c>
    </row>
    <row r="466">
      <c r="A466" s="8" t="n"/>
      <c r="B466" s="9" t="n"/>
      <c r="C466" s="8" t="n"/>
      <c r="D466" s="8" t="n"/>
      <c r="E466" s="8" t="n"/>
      <c r="F466" s="10" t="n"/>
      <c r="G466" s="10" t="n"/>
      <c r="H466" s="10" t="n"/>
      <c r="I466" s="11" t="n"/>
      <c r="J466" s="10">
        <f>IFERROR(IF(AND(F466&lt;&gt;"",G466&lt;&gt;"",I466&lt;&gt;""),ABS(F466-G466)*I466,""),"")</f>
        <v/>
      </c>
      <c r="K466" s="12">
        <f>IFERROR(IF(AND(F466&lt;&gt;"",G466&lt;&gt;"",H466&lt;&gt;""),ABS(H466-F466)/ABS(F466-G466),""),"")</f>
        <v/>
      </c>
      <c r="L466" s="9" t="n"/>
      <c r="M466" s="10" t="n"/>
      <c r="N466" s="10" t="n"/>
      <c r="O466" s="13">
        <f>IFERROR(IF(AND(M466&lt;&gt;"",F466&lt;&gt;"",I466&lt;&gt;""),IF(D466="Long",(M466-F466)*I466-IF(N466&lt;&gt;"",N466,0),IF(D466="Short",(F466-M466)*I466-IF(N466&lt;&gt;"",N466,0),"")),""),"")</f>
        <v/>
      </c>
      <c r="P466" s="14">
        <f>IFERROR(IF(AND(O466&lt;&gt;"",F466&lt;&gt;"",I466&lt;&gt;""),O466/(F466*I466),""),"")</f>
        <v/>
      </c>
      <c r="Q466" s="15">
        <f>IFERROR(IF(AND(O466&lt;&gt;"",J466&lt;&gt;"",J466&lt;&gt;0),O466/J466,""),"")</f>
        <v/>
      </c>
      <c r="R466" s="16">
        <f>IFERROR(IF(AND(L466&lt;&gt;"",B466&lt;&gt;""),L466-B466,""),"")</f>
        <v/>
      </c>
      <c r="S466" s="8" t="n"/>
      <c r="T466" s="8" t="n"/>
      <c r="U466" s="17">
        <f>IF(O466&lt;&gt;"",465,"")</f>
        <v/>
      </c>
      <c r="V466" s="18">
        <f>IF(O466&lt;&gt;"",V465+O466,V465)</f>
        <v/>
      </c>
    </row>
    <row r="467">
      <c r="A467" s="19" t="n"/>
      <c r="B467" s="20" t="n"/>
      <c r="C467" s="19" t="n"/>
      <c r="D467" s="19" t="n"/>
      <c r="E467" s="19" t="n"/>
      <c r="F467" s="21" t="n"/>
      <c r="G467" s="21" t="n"/>
      <c r="H467" s="21" t="n"/>
      <c r="I467" s="22" t="n"/>
      <c r="J467" s="21">
        <f>IFERROR(IF(AND(F467&lt;&gt;"",G467&lt;&gt;"",I467&lt;&gt;""),ABS(F467-G467)*I467,""),"")</f>
        <v/>
      </c>
      <c r="K467" s="23">
        <f>IFERROR(IF(AND(F467&lt;&gt;"",G467&lt;&gt;"",H467&lt;&gt;""),ABS(H467-F467)/ABS(F467-G467),""),"")</f>
        <v/>
      </c>
      <c r="L467" s="20" t="n"/>
      <c r="M467" s="21" t="n"/>
      <c r="N467" s="21" t="n"/>
      <c r="O467" s="24">
        <f>IFERROR(IF(AND(M467&lt;&gt;"",F467&lt;&gt;"",I467&lt;&gt;""),IF(D467="Long",(M467-F467)*I467-IF(N467&lt;&gt;"",N467,0),IF(D467="Short",(F467-M467)*I467-IF(N467&lt;&gt;"",N467,0),"")),""),"")</f>
        <v/>
      </c>
      <c r="P467" s="25">
        <f>IFERROR(IF(AND(O467&lt;&gt;"",F467&lt;&gt;"",I467&lt;&gt;""),O467/(F467*I467),""),"")</f>
        <v/>
      </c>
      <c r="Q467" s="26">
        <f>IFERROR(IF(AND(O467&lt;&gt;"",J467&lt;&gt;"",J467&lt;&gt;0),O467/J467,""),"")</f>
        <v/>
      </c>
      <c r="R467" s="27">
        <f>IFERROR(IF(AND(L467&lt;&gt;"",B467&lt;&gt;""),L467-B467,""),"")</f>
        <v/>
      </c>
      <c r="S467" s="19" t="n"/>
      <c r="T467" s="19" t="n"/>
      <c r="U467" s="17">
        <f>IF(O467&lt;&gt;"",466,"")</f>
        <v/>
      </c>
      <c r="V467" s="18">
        <f>IF(O467&lt;&gt;"",V466+O467,V466)</f>
        <v/>
      </c>
    </row>
    <row r="468">
      <c r="A468" s="8" t="n"/>
      <c r="B468" s="9" t="n"/>
      <c r="C468" s="8" t="n"/>
      <c r="D468" s="8" t="n"/>
      <c r="E468" s="8" t="n"/>
      <c r="F468" s="10" t="n"/>
      <c r="G468" s="10" t="n"/>
      <c r="H468" s="10" t="n"/>
      <c r="I468" s="11" t="n"/>
      <c r="J468" s="10">
        <f>IFERROR(IF(AND(F468&lt;&gt;"",G468&lt;&gt;"",I468&lt;&gt;""),ABS(F468-G468)*I468,""),"")</f>
        <v/>
      </c>
      <c r="K468" s="12">
        <f>IFERROR(IF(AND(F468&lt;&gt;"",G468&lt;&gt;"",H468&lt;&gt;""),ABS(H468-F468)/ABS(F468-G468),""),"")</f>
        <v/>
      </c>
      <c r="L468" s="9" t="n"/>
      <c r="M468" s="10" t="n"/>
      <c r="N468" s="10" t="n"/>
      <c r="O468" s="13">
        <f>IFERROR(IF(AND(M468&lt;&gt;"",F468&lt;&gt;"",I468&lt;&gt;""),IF(D468="Long",(M468-F468)*I468-IF(N468&lt;&gt;"",N468,0),IF(D468="Short",(F468-M468)*I468-IF(N468&lt;&gt;"",N468,0),"")),""),"")</f>
        <v/>
      </c>
      <c r="P468" s="14">
        <f>IFERROR(IF(AND(O468&lt;&gt;"",F468&lt;&gt;"",I468&lt;&gt;""),O468/(F468*I468),""),"")</f>
        <v/>
      </c>
      <c r="Q468" s="15">
        <f>IFERROR(IF(AND(O468&lt;&gt;"",J468&lt;&gt;"",J468&lt;&gt;0),O468/J468,""),"")</f>
        <v/>
      </c>
      <c r="R468" s="16">
        <f>IFERROR(IF(AND(L468&lt;&gt;"",B468&lt;&gt;""),L468-B468,""),"")</f>
        <v/>
      </c>
      <c r="S468" s="8" t="n"/>
      <c r="T468" s="8" t="n"/>
      <c r="U468" s="17">
        <f>IF(O468&lt;&gt;"",467,"")</f>
        <v/>
      </c>
      <c r="V468" s="18">
        <f>IF(O468&lt;&gt;"",V467+O468,V467)</f>
        <v/>
      </c>
    </row>
    <row r="469">
      <c r="A469" s="19" t="n"/>
      <c r="B469" s="20" t="n"/>
      <c r="C469" s="19" t="n"/>
      <c r="D469" s="19" t="n"/>
      <c r="E469" s="19" t="n"/>
      <c r="F469" s="21" t="n"/>
      <c r="G469" s="21" t="n"/>
      <c r="H469" s="21" t="n"/>
      <c r="I469" s="22" t="n"/>
      <c r="J469" s="21">
        <f>IFERROR(IF(AND(F469&lt;&gt;"",G469&lt;&gt;"",I469&lt;&gt;""),ABS(F469-G469)*I469,""),"")</f>
        <v/>
      </c>
      <c r="K469" s="23">
        <f>IFERROR(IF(AND(F469&lt;&gt;"",G469&lt;&gt;"",H469&lt;&gt;""),ABS(H469-F469)/ABS(F469-G469),""),"")</f>
        <v/>
      </c>
      <c r="L469" s="20" t="n"/>
      <c r="M469" s="21" t="n"/>
      <c r="N469" s="21" t="n"/>
      <c r="O469" s="24">
        <f>IFERROR(IF(AND(M469&lt;&gt;"",F469&lt;&gt;"",I469&lt;&gt;""),IF(D469="Long",(M469-F469)*I469-IF(N469&lt;&gt;"",N469,0),IF(D469="Short",(F469-M469)*I469-IF(N469&lt;&gt;"",N469,0),"")),""),"")</f>
        <v/>
      </c>
      <c r="P469" s="25">
        <f>IFERROR(IF(AND(O469&lt;&gt;"",F469&lt;&gt;"",I469&lt;&gt;""),O469/(F469*I469),""),"")</f>
        <v/>
      </c>
      <c r="Q469" s="26">
        <f>IFERROR(IF(AND(O469&lt;&gt;"",J469&lt;&gt;"",J469&lt;&gt;0),O469/J469,""),"")</f>
        <v/>
      </c>
      <c r="R469" s="27">
        <f>IFERROR(IF(AND(L469&lt;&gt;"",B469&lt;&gt;""),L469-B469,""),"")</f>
        <v/>
      </c>
      <c r="S469" s="19" t="n"/>
      <c r="T469" s="19" t="n"/>
      <c r="U469" s="17">
        <f>IF(O469&lt;&gt;"",468,"")</f>
        <v/>
      </c>
      <c r="V469" s="18">
        <f>IF(O469&lt;&gt;"",V468+O469,V468)</f>
        <v/>
      </c>
    </row>
    <row r="470">
      <c r="A470" s="8" t="n"/>
      <c r="B470" s="9" t="n"/>
      <c r="C470" s="8" t="n"/>
      <c r="D470" s="8" t="n"/>
      <c r="E470" s="8" t="n"/>
      <c r="F470" s="10" t="n"/>
      <c r="G470" s="10" t="n"/>
      <c r="H470" s="10" t="n"/>
      <c r="I470" s="11" t="n"/>
      <c r="J470" s="10">
        <f>IFERROR(IF(AND(F470&lt;&gt;"",G470&lt;&gt;"",I470&lt;&gt;""),ABS(F470-G470)*I470,""),"")</f>
        <v/>
      </c>
      <c r="K470" s="12">
        <f>IFERROR(IF(AND(F470&lt;&gt;"",G470&lt;&gt;"",H470&lt;&gt;""),ABS(H470-F470)/ABS(F470-G470),""),"")</f>
        <v/>
      </c>
      <c r="L470" s="9" t="n"/>
      <c r="M470" s="10" t="n"/>
      <c r="N470" s="10" t="n"/>
      <c r="O470" s="13">
        <f>IFERROR(IF(AND(M470&lt;&gt;"",F470&lt;&gt;"",I470&lt;&gt;""),IF(D470="Long",(M470-F470)*I470-IF(N470&lt;&gt;"",N470,0),IF(D470="Short",(F470-M470)*I470-IF(N470&lt;&gt;"",N470,0),"")),""),"")</f>
        <v/>
      </c>
      <c r="P470" s="14">
        <f>IFERROR(IF(AND(O470&lt;&gt;"",F470&lt;&gt;"",I470&lt;&gt;""),O470/(F470*I470),""),"")</f>
        <v/>
      </c>
      <c r="Q470" s="15">
        <f>IFERROR(IF(AND(O470&lt;&gt;"",J470&lt;&gt;"",J470&lt;&gt;0),O470/J470,""),"")</f>
        <v/>
      </c>
      <c r="R470" s="16">
        <f>IFERROR(IF(AND(L470&lt;&gt;"",B470&lt;&gt;""),L470-B470,""),"")</f>
        <v/>
      </c>
      <c r="S470" s="8" t="n"/>
      <c r="T470" s="8" t="n"/>
      <c r="U470" s="17">
        <f>IF(O470&lt;&gt;"",469,"")</f>
        <v/>
      </c>
      <c r="V470" s="18">
        <f>IF(O470&lt;&gt;"",V469+O470,V469)</f>
        <v/>
      </c>
    </row>
    <row r="471">
      <c r="A471" s="19" t="n"/>
      <c r="B471" s="20" t="n"/>
      <c r="C471" s="19" t="n"/>
      <c r="D471" s="19" t="n"/>
      <c r="E471" s="19" t="n"/>
      <c r="F471" s="21" t="n"/>
      <c r="G471" s="21" t="n"/>
      <c r="H471" s="21" t="n"/>
      <c r="I471" s="22" t="n"/>
      <c r="J471" s="21">
        <f>IFERROR(IF(AND(F471&lt;&gt;"",G471&lt;&gt;"",I471&lt;&gt;""),ABS(F471-G471)*I471,""),"")</f>
        <v/>
      </c>
      <c r="K471" s="23">
        <f>IFERROR(IF(AND(F471&lt;&gt;"",G471&lt;&gt;"",H471&lt;&gt;""),ABS(H471-F471)/ABS(F471-G471),""),"")</f>
        <v/>
      </c>
      <c r="L471" s="20" t="n"/>
      <c r="M471" s="21" t="n"/>
      <c r="N471" s="21" t="n"/>
      <c r="O471" s="24">
        <f>IFERROR(IF(AND(M471&lt;&gt;"",F471&lt;&gt;"",I471&lt;&gt;""),IF(D471="Long",(M471-F471)*I471-IF(N471&lt;&gt;"",N471,0),IF(D471="Short",(F471-M471)*I471-IF(N471&lt;&gt;"",N471,0),"")),""),"")</f>
        <v/>
      </c>
      <c r="P471" s="25">
        <f>IFERROR(IF(AND(O471&lt;&gt;"",F471&lt;&gt;"",I471&lt;&gt;""),O471/(F471*I471),""),"")</f>
        <v/>
      </c>
      <c r="Q471" s="26">
        <f>IFERROR(IF(AND(O471&lt;&gt;"",J471&lt;&gt;"",J471&lt;&gt;0),O471/J471,""),"")</f>
        <v/>
      </c>
      <c r="R471" s="27">
        <f>IFERROR(IF(AND(L471&lt;&gt;"",B471&lt;&gt;""),L471-B471,""),"")</f>
        <v/>
      </c>
      <c r="S471" s="19" t="n"/>
      <c r="T471" s="19" t="n"/>
      <c r="U471" s="17">
        <f>IF(O471&lt;&gt;"",470,"")</f>
        <v/>
      </c>
      <c r="V471" s="18">
        <f>IF(O471&lt;&gt;"",V470+O471,V470)</f>
        <v/>
      </c>
    </row>
    <row r="472">
      <c r="A472" s="8" t="n"/>
      <c r="B472" s="9" t="n"/>
      <c r="C472" s="8" t="n"/>
      <c r="D472" s="8" t="n"/>
      <c r="E472" s="8" t="n"/>
      <c r="F472" s="10" t="n"/>
      <c r="G472" s="10" t="n"/>
      <c r="H472" s="10" t="n"/>
      <c r="I472" s="11" t="n"/>
      <c r="J472" s="10">
        <f>IFERROR(IF(AND(F472&lt;&gt;"",G472&lt;&gt;"",I472&lt;&gt;""),ABS(F472-G472)*I472,""),"")</f>
        <v/>
      </c>
      <c r="K472" s="12">
        <f>IFERROR(IF(AND(F472&lt;&gt;"",G472&lt;&gt;"",H472&lt;&gt;""),ABS(H472-F472)/ABS(F472-G472),""),"")</f>
        <v/>
      </c>
      <c r="L472" s="9" t="n"/>
      <c r="M472" s="10" t="n"/>
      <c r="N472" s="10" t="n"/>
      <c r="O472" s="13">
        <f>IFERROR(IF(AND(M472&lt;&gt;"",F472&lt;&gt;"",I472&lt;&gt;""),IF(D472="Long",(M472-F472)*I472-IF(N472&lt;&gt;"",N472,0),IF(D472="Short",(F472-M472)*I472-IF(N472&lt;&gt;"",N472,0),"")),""),"")</f>
        <v/>
      </c>
      <c r="P472" s="14">
        <f>IFERROR(IF(AND(O472&lt;&gt;"",F472&lt;&gt;"",I472&lt;&gt;""),O472/(F472*I472),""),"")</f>
        <v/>
      </c>
      <c r="Q472" s="15">
        <f>IFERROR(IF(AND(O472&lt;&gt;"",J472&lt;&gt;"",J472&lt;&gt;0),O472/J472,""),"")</f>
        <v/>
      </c>
      <c r="R472" s="16">
        <f>IFERROR(IF(AND(L472&lt;&gt;"",B472&lt;&gt;""),L472-B472,""),"")</f>
        <v/>
      </c>
      <c r="S472" s="8" t="n"/>
      <c r="T472" s="8" t="n"/>
      <c r="U472" s="17">
        <f>IF(O472&lt;&gt;"",471,"")</f>
        <v/>
      </c>
      <c r="V472" s="18">
        <f>IF(O472&lt;&gt;"",V471+O472,V471)</f>
        <v/>
      </c>
    </row>
    <row r="473">
      <c r="A473" s="19" t="n"/>
      <c r="B473" s="20" t="n"/>
      <c r="C473" s="19" t="n"/>
      <c r="D473" s="19" t="n"/>
      <c r="E473" s="19" t="n"/>
      <c r="F473" s="21" t="n"/>
      <c r="G473" s="21" t="n"/>
      <c r="H473" s="21" t="n"/>
      <c r="I473" s="22" t="n"/>
      <c r="J473" s="21">
        <f>IFERROR(IF(AND(F473&lt;&gt;"",G473&lt;&gt;"",I473&lt;&gt;""),ABS(F473-G473)*I473,""),"")</f>
        <v/>
      </c>
      <c r="K473" s="23">
        <f>IFERROR(IF(AND(F473&lt;&gt;"",G473&lt;&gt;"",H473&lt;&gt;""),ABS(H473-F473)/ABS(F473-G473),""),"")</f>
        <v/>
      </c>
      <c r="L473" s="20" t="n"/>
      <c r="M473" s="21" t="n"/>
      <c r="N473" s="21" t="n"/>
      <c r="O473" s="24">
        <f>IFERROR(IF(AND(M473&lt;&gt;"",F473&lt;&gt;"",I473&lt;&gt;""),IF(D473="Long",(M473-F473)*I473-IF(N473&lt;&gt;"",N473,0),IF(D473="Short",(F473-M473)*I473-IF(N473&lt;&gt;"",N473,0),"")),""),"")</f>
        <v/>
      </c>
      <c r="P473" s="25">
        <f>IFERROR(IF(AND(O473&lt;&gt;"",F473&lt;&gt;"",I473&lt;&gt;""),O473/(F473*I473),""),"")</f>
        <v/>
      </c>
      <c r="Q473" s="26">
        <f>IFERROR(IF(AND(O473&lt;&gt;"",J473&lt;&gt;"",J473&lt;&gt;0),O473/J473,""),"")</f>
        <v/>
      </c>
      <c r="R473" s="27">
        <f>IFERROR(IF(AND(L473&lt;&gt;"",B473&lt;&gt;""),L473-B473,""),"")</f>
        <v/>
      </c>
      <c r="S473" s="19" t="n"/>
      <c r="T473" s="19" t="n"/>
      <c r="U473" s="17">
        <f>IF(O473&lt;&gt;"",472,"")</f>
        <v/>
      </c>
      <c r="V473" s="18">
        <f>IF(O473&lt;&gt;"",V472+O473,V472)</f>
        <v/>
      </c>
    </row>
    <row r="474">
      <c r="A474" s="8" t="n"/>
      <c r="B474" s="9" t="n"/>
      <c r="C474" s="8" t="n"/>
      <c r="D474" s="8" t="n"/>
      <c r="E474" s="8" t="n"/>
      <c r="F474" s="10" t="n"/>
      <c r="G474" s="10" t="n"/>
      <c r="H474" s="10" t="n"/>
      <c r="I474" s="11" t="n"/>
      <c r="J474" s="10">
        <f>IFERROR(IF(AND(F474&lt;&gt;"",G474&lt;&gt;"",I474&lt;&gt;""),ABS(F474-G474)*I474,""),"")</f>
        <v/>
      </c>
      <c r="K474" s="12">
        <f>IFERROR(IF(AND(F474&lt;&gt;"",G474&lt;&gt;"",H474&lt;&gt;""),ABS(H474-F474)/ABS(F474-G474),""),"")</f>
        <v/>
      </c>
      <c r="L474" s="9" t="n"/>
      <c r="M474" s="10" t="n"/>
      <c r="N474" s="10" t="n"/>
      <c r="O474" s="13">
        <f>IFERROR(IF(AND(M474&lt;&gt;"",F474&lt;&gt;"",I474&lt;&gt;""),IF(D474="Long",(M474-F474)*I474-IF(N474&lt;&gt;"",N474,0),IF(D474="Short",(F474-M474)*I474-IF(N474&lt;&gt;"",N474,0),"")),""),"")</f>
        <v/>
      </c>
      <c r="P474" s="14">
        <f>IFERROR(IF(AND(O474&lt;&gt;"",F474&lt;&gt;"",I474&lt;&gt;""),O474/(F474*I474),""),"")</f>
        <v/>
      </c>
      <c r="Q474" s="15">
        <f>IFERROR(IF(AND(O474&lt;&gt;"",J474&lt;&gt;"",J474&lt;&gt;0),O474/J474,""),"")</f>
        <v/>
      </c>
      <c r="R474" s="16">
        <f>IFERROR(IF(AND(L474&lt;&gt;"",B474&lt;&gt;""),L474-B474,""),"")</f>
        <v/>
      </c>
      <c r="S474" s="8" t="n"/>
      <c r="T474" s="8" t="n"/>
      <c r="U474" s="17">
        <f>IF(O474&lt;&gt;"",473,"")</f>
        <v/>
      </c>
      <c r="V474" s="18">
        <f>IF(O474&lt;&gt;"",V473+O474,V473)</f>
        <v/>
      </c>
    </row>
    <row r="475">
      <c r="A475" s="19" t="n"/>
      <c r="B475" s="20" t="n"/>
      <c r="C475" s="19" t="n"/>
      <c r="D475" s="19" t="n"/>
      <c r="E475" s="19" t="n"/>
      <c r="F475" s="21" t="n"/>
      <c r="G475" s="21" t="n"/>
      <c r="H475" s="21" t="n"/>
      <c r="I475" s="22" t="n"/>
      <c r="J475" s="21">
        <f>IFERROR(IF(AND(F475&lt;&gt;"",G475&lt;&gt;"",I475&lt;&gt;""),ABS(F475-G475)*I475,""),"")</f>
        <v/>
      </c>
      <c r="K475" s="23">
        <f>IFERROR(IF(AND(F475&lt;&gt;"",G475&lt;&gt;"",H475&lt;&gt;""),ABS(H475-F475)/ABS(F475-G475),""),"")</f>
        <v/>
      </c>
      <c r="L475" s="20" t="n"/>
      <c r="M475" s="21" t="n"/>
      <c r="N475" s="21" t="n"/>
      <c r="O475" s="24">
        <f>IFERROR(IF(AND(M475&lt;&gt;"",F475&lt;&gt;"",I475&lt;&gt;""),IF(D475="Long",(M475-F475)*I475-IF(N475&lt;&gt;"",N475,0),IF(D475="Short",(F475-M475)*I475-IF(N475&lt;&gt;"",N475,0),"")),""),"")</f>
        <v/>
      </c>
      <c r="P475" s="25">
        <f>IFERROR(IF(AND(O475&lt;&gt;"",F475&lt;&gt;"",I475&lt;&gt;""),O475/(F475*I475),""),"")</f>
        <v/>
      </c>
      <c r="Q475" s="26">
        <f>IFERROR(IF(AND(O475&lt;&gt;"",J475&lt;&gt;"",J475&lt;&gt;0),O475/J475,""),"")</f>
        <v/>
      </c>
      <c r="R475" s="27">
        <f>IFERROR(IF(AND(L475&lt;&gt;"",B475&lt;&gt;""),L475-B475,""),"")</f>
        <v/>
      </c>
      <c r="S475" s="19" t="n"/>
      <c r="T475" s="19" t="n"/>
      <c r="U475" s="17">
        <f>IF(O475&lt;&gt;"",474,"")</f>
        <v/>
      </c>
      <c r="V475" s="18">
        <f>IF(O475&lt;&gt;"",V474+O475,V474)</f>
        <v/>
      </c>
    </row>
    <row r="476">
      <c r="A476" s="8" t="n"/>
      <c r="B476" s="9" t="n"/>
      <c r="C476" s="8" t="n"/>
      <c r="D476" s="8" t="n"/>
      <c r="E476" s="8" t="n"/>
      <c r="F476" s="10" t="n"/>
      <c r="G476" s="10" t="n"/>
      <c r="H476" s="10" t="n"/>
      <c r="I476" s="11" t="n"/>
      <c r="J476" s="10">
        <f>IFERROR(IF(AND(F476&lt;&gt;"",G476&lt;&gt;"",I476&lt;&gt;""),ABS(F476-G476)*I476,""),"")</f>
        <v/>
      </c>
      <c r="K476" s="12">
        <f>IFERROR(IF(AND(F476&lt;&gt;"",G476&lt;&gt;"",H476&lt;&gt;""),ABS(H476-F476)/ABS(F476-G476),""),"")</f>
        <v/>
      </c>
      <c r="L476" s="9" t="n"/>
      <c r="M476" s="10" t="n"/>
      <c r="N476" s="10" t="n"/>
      <c r="O476" s="13">
        <f>IFERROR(IF(AND(M476&lt;&gt;"",F476&lt;&gt;"",I476&lt;&gt;""),IF(D476="Long",(M476-F476)*I476-IF(N476&lt;&gt;"",N476,0),IF(D476="Short",(F476-M476)*I476-IF(N476&lt;&gt;"",N476,0),"")),""),"")</f>
        <v/>
      </c>
      <c r="P476" s="14">
        <f>IFERROR(IF(AND(O476&lt;&gt;"",F476&lt;&gt;"",I476&lt;&gt;""),O476/(F476*I476),""),"")</f>
        <v/>
      </c>
      <c r="Q476" s="15">
        <f>IFERROR(IF(AND(O476&lt;&gt;"",J476&lt;&gt;"",J476&lt;&gt;0),O476/J476,""),"")</f>
        <v/>
      </c>
      <c r="R476" s="16">
        <f>IFERROR(IF(AND(L476&lt;&gt;"",B476&lt;&gt;""),L476-B476,""),"")</f>
        <v/>
      </c>
      <c r="S476" s="8" t="n"/>
      <c r="T476" s="8" t="n"/>
      <c r="U476" s="17">
        <f>IF(O476&lt;&gt;"",475,"")</f>
        <v/>
      </c>
      <c r="V476" s="18">
        <f>IF(O476&lt;&gt;"",V475+O476,V475)</f>
        <v/>
      </c>
    </row>
    <row r="477">
      <c r="A477" s="19" t="n"/>
      <c r="B477" s="20" t="n"/>
      <c r="C477" s="19" t="n"/>
      <c r="D477" s="19" t="n"/>
      <c r="E477" s="19" t="n"/>
      <c r="F477" s="21" t="n"/>
      <c r="G477" s="21" t="n"/>
      <c r="H477" s="21" t="n"/>
      <c r="I477" s="22" t="n"/>
      <c r="J477" s="21">
        <f>IFERROR(IF(AND(F477&lt;&gt;"",G477&lt;&gt;"",I477&lt;&gt;""),ABS(F477-G477)*I477,""),"")</f>
        <v/>
      </c>
      <c r="K477" s="23">
        <f>IFERROR(IF(AND(F477&lt;&gt;"",G477&lt;&gt;"",H477&lt;&gt;""),ABS(H477-F477)/ABS(F477-G477),""),"")</f>
        <v/>
      </c>
      <c r="L477" s="20" t="n"/>
      <c r="M477" s="21" t="n"/>
      <c r="N477" s="21" t="n"/>
      <c r="O477" s="24">
        <f>IFERROR(IF(AND(M477&lt;&gt;"",F477&lt;&gt;"",I477&lt;&gt;""),IF(D477="Long",(M477-F477)*I477-IF(N477&lt;&gt;"",N477,0),IF(D477="Short",(F477-M477)*I477-IF(N477&lt;&gt;"",N477,0),"")),""),"")</f>
        <v/>
      </c>
      <c r="P477" s="25">
        <f>IFERROR(IF(AND(O477&lt;&gt;"",F477&lt;&gt;"",I477&lt;&gt;""),O477/(F477*I477),""),"")</f>
        <v/>
      </c>
      <c r="Q477" s="26">
        <f>IFERROR(IF(AND(O477&lt;&gt;"",J477&lt;&gt;"",J477&lt;&gt;0),O477/J477,""),"")</f>
        <v/>
      </c>
      <c r="R477" s="27">
        <f>IFERROR(IF(AND(L477&lt;&gt;"",B477&lt;&gt;""),L477-B477,""),"")</f>
        <v/>
      </c>
      <c r="S477" s="19" t="n"/>
      <c r="T477" s="19" t="n"/>
      <c r="U477" s="17">
        <f>IF(O477&lt;&gt;"",476,"")</f>
        <v/>
      </c>
      <c r="V477" s="18">
        <f>IF(O477&lt;&gt;"",V476+O477,V476)</f>
        <v/>
      </c>
    </row>
    <row r="478">
      <c r="A478" s="8" t="n"/>
      <c r="B478" s="9" t="n"/>
      <c r="C478" s="8" t="n"/>
      <c r="D478" s="8" t="n"/>
      <c r="E478" s="8" t="n"/>
      <c r="F478" s="10" t="n"/>
      <c r="G478" s="10" t="n"/>
      <c r="H478" s="10" t="n"/>
      <c r="I478" s="11" t="n"/>
      <c r="J478" s="10">
        <f>IFERROR(IF(AND(F478&lt;&gt;"",G478&lt;&gt;"",I478&lt;&gt;""),ABS(F478-G478)*I478,""),"")</f>
        <v/>
      </c>
      <c r="K478" s="12">
        <f>IFERROR(IF(AND(F478&lt;&gt;"",G478&lt;&gt;"",H478&lt;&gt;""),ABS(H478-F478)/ABS(F478-G478),""),"")</f>
        <v/>
      </c>
      <c r="L478" s="9" t="n"/>
      <c r="M478" s="10" t="n"/>
      <c r="N478" s="10" t="n"/>
      <c r="O478" s="13">
        <f>IFERROR(IF(AND(M478&lt;&gt;"",F478&lt;&gt;"",I478&lt;&gt;""),IF(D478="Long",(M478-F478)*I478-IF(N478&lt;&gt;"",N478,0),IF(D478="Short",(F478-M478)*I478-IF(N478&lt;&gt;"",N478,0),"")),""),"")</f>
        <v/>
      </c>
      <c r="P478" s="14">
        <f>IFERROR(IF(AND(O478&lt;&gt;"",F478&lt;&gt;"",I478&lt;&gt;""),O478/(F478*I478),""),"")</f>
        <v/>
      </c>
      <c r="Q478" s="15">
        <f>IFERROR(IF(AND(O478&lt;&gt;"",J478&lt;&gt;"",J478&lt;&gt;0),O478/J478,""),"")</f>
        <v/>
      </c>
      <c r="R478" s="16">
        <f>IFERROR(IF(AND(L478&lt;&gt;"",B478&lt;&gt;""),L478-B478,""),"")</f>
        <v/>
      </c>
      <c r="S478" s="8" t="n"/>
      <c r="T478" s="8" t="n"/>
      <c r="U478" s="17">
        <f>IF(O478&lt;&gt;"",477,"")</f>
        <v/>
      </c>
      <c r="V478" s="18">
        <f>IF(O478&lt;&gt;"",V477+O478,V477)</f>
        <v/>
      </c>
    </row>
    <row r="479">
      <c r="A479" s="19" t="n"/>
      <c r="B479" s="20" t="n"/>
      <c r="C479" s="19" t="n"/>
      <c r="D479" s="19" t="n"/>
      <c r="E479" s="19" t="n"/>
      <c r="F479" s="21" t="n"/>
      <c r="G479" s="21" t="n"/>
      <c r="H479" s="21" t="n"/>
      <c r="I479" s="22" t="n"/>
      <c r="J479" s="21">
        <f>IFERROR(IF(AND(F479&lt;&gt;"",G479&lt;&gt;"",I479&lt;&gt;""),ABS(F479-G479)*I479,""),"")</f>
        <v/>
      </c>
      <c r="K479" s="23">
        <f>IFERROR(IF(AND(F479&lt;&gt;"",G479&lt;&gt;"",H479&lt;&gt;""),ABS(H479-F479)/ABS(F479-G479),""),"")</f>
        <v/>
      </c>
      <c r="L479" s="20" t="n"/>
      <c r="M479" s="21" t="n"/>
      <c r="N479" s="21" t="n"/>
      <c r="O479" s="24">
        <f>IFERROR(IF(AND(M479&lt;&gt;"",F479&lt;&gt;"",I479&lt;&gt;""),IF(D479="Long",(M479-F479)*I479-IF(N479&lt;&gt;"",N479,0),IF(D479="Short",(F479-M479)*I479-IF(N479&lt;&gt;"",N479,0),"")),""),"")</f>
        <v/>
      </c>
      <c r="P479" s="25">
        <f>IFERROR(IF(AND(O479&lt;&gt;"",F479&lt;&gt;"",I479&lt;&gt;""),O479/(F479*I479),""),"")</f>
        <v/>
      </c>
      <c r="Q479" s="26">
        <f>IFERROR(IF(AND(O479&lt;&gt;"",J479&lt;&gt;"",J479&lt;&gt;0),O479/J479,""),"")</f>
        <v/>
      </c>
      <c r="R479" s="27">
        <f>IFERROR(IF(AND(L479&lt;&gt;"",B479&lt;&gt;""),L479-B479,""),"")</f>
        <v/>
      </c>
      <c r="S479" s="19" t="n"/>
      <c r="T479" s="19" t="n"/>
      <c r="U479" s="17">
        <f>IF(O479&lt;&gt;"",478,"")</f>
        <v/>
      </c>
      <c r="V479" s="18">
        <f>IF(O479&lt;&gt;"",V478+O479,V478)</f>
        <v/>
      </c>
    </row>
    <row r="480">
      <c r="A480" s="8" t="n"/>
      <c r="B480" s="9" t="n"/>
      <c r="C480" s="8" t="n"/>
      <c r="D480" s="8" t="n"/>
      <c r="E480" s="8" t="n"/>
      <c r="F480" s="10" t="n"/>
      <c r="G480" s="10" t="n"/>
      <c r="H480" s="10" t="n"/>
      <c r="I480" s="11" t="n"/>
      <c r="J480" s="10">
        <f>IFERROR(IF(AND(F480&lt;&gt;"",G480&lt;&gt;"",I480&lt;&gt;""),ABS(F480-G480)*I480,""),"")</f>
        <v/>
      </c>
      <c r="K480" s="12">
        <f>IFERROR(IF(AND(F480&lt;&gt;"",G480&lt;&gt;"",H480&lt;&gt;""),ABS(H480-F480)/ABS(F480-G480),""),"")</f>
        <v/>
      </c>
      <c r="L480" s="9" t="n"/>
      <c r="M480" s="10" t="n"/>
      <c r="N480" s="10" t="n"/>
      <c r="O480" s="13">
        <f>IFERROR(IF(AND(M480&lt;&gt;"",F480&lt;&gt;"",I480&lt;&gt;""),IF(D480="Long",(M480-F480)*I480-IF(N480&lt;&gt;"",N480,0),IF(D480="Short",(F480-M480)*I480-IF(N480&lt;&gt;"",N480,0),"")),""),"")</f>
        <v/>
      </c>
      <c r="P480" s="14">
        <f>IFERROR(IF(AND(O480&lt;&gt;"",F480&lt;&gt;"",I480&lt;&gt;""),O480/(F480*I480),""),"")</f>
        <v/>
      </c>
      <c r="Q480" s="15">
        <f>IFERROR(IF(AND(O480&lt;&gt;"",J480&lt;&gt;"",J480&lt;&gt;0),O480/J480,""),"")</f>
        <v/>
      </c>
      <c r="R480" s="16">
        <f>IFERROR(IF(AND(L480&lt;&gt;"",B480&lt;&gt;""),L480-B480,""),"")</f>
        <v/>
      </c>
      <c r="S480" s="8" t="n"/>
      <c r="T480" s="8" t="n"/>
      <c r="U480" s="17">
        <f>IF(O480&lt;&gt;"",479,"")</f>
        <v/>
      </c>
      <c r="V480" s="18">
        <f>IF(O480&lt;&gt;"",V479+O480,V479)</f>
        <v/>
      </c>
    </row>
    <row r="481">
      <c r="A481" s="19" t="n"/>
      <c r="B481" s="20" t="n"/>
      <c r="C481" s="19" t="n"/>
      <c r="D481" s="19" t="n"/>
      <c r="E481" s="19" t="n"/>
      <c r="F481" s="21" t="n"/>
      <c r="G481" s="21" t="n"/>
      <c r="H481" s="21" t="n"/>
      <c r="I481" s="22" t="n"/>
      <c r="J481" s="21">
        <f>IFERROR(IF(AND(F481&lt;&gt;"",G481&lt;&gt;"",I481&lt;&gt;""),ABS(F481-G481)*I481,""),"")</f>
        <v/>
      </c>
      <c r="K481" s="23">
        <f>IFERROR(IF(AND(F481&lt;&gt;"",G481&lt;&gt;"",H481&lt;&gt;""),ABS(H481-F481)/ABS(F481-G481),""),"")</f>
        <v/>
      </c>
      <c r="L481" s="20" t="n"/>
      <c r="M481" s="21" t="n"/>
      <c r="N481" s="21" t="n"/>
      <c r="O481" s="24">
        <f>IFERROR(IF(AND(M481&lt;&gt;"",F481&lt;&gt;"",I481&lt;&gt;""),IF(D481="Long",(M481-F481)*I481-IF(N481&lt;&gt;"",N481,0),IF(D481="Short",(F481-M481)*I481-IF(N481&lt;&gt;"",N481,0),"")),""),"")</f>
        <v/>
      </c>
      <c r="P481" s="25">
        <f>IFERROR(IF(AND(O481&lt;&gt;"",F481&lt;&gt;"",I481&lt;&gt;""),O481/(F481*I481),""),"")</f>
        <v/>
      </c>
      <c r="Q481" s="26">
        <f>IFERROR(IF(AND(O481&lt;&gt;"",J481&lt;&gt;"",J481&lt;&gt;0),O481/J481,""),"")</f>
        <v/>
      </c>
      <c r="R481" s="27">
        <f>IFERROR(IF(AND(L481&lt;&gt;"",B481&lt;&gt;""),L481-B481,""),"")</f>
        <v/>
      </c>
      <c r="S481" s="19" t="n"/>
      <c r="T481" s="19" t="n"/>
      <c r="U481" s="17">
        <f>IF(O481&lt;&gt;"",480,"")</f>
        <v/>
      </c>
      <c r="V481" s="18">
        <f>IF(O481&lt;&gt;"",V480+O481,V480)</f>
        <v/>
      </c>
    </row>
    <row r="482">
      <c r="A482" s="8" t="n"/>
      <c r="B482" s="9" t="n"/>
      <c r="C482" s="8" t="n"/>
      <c r="D482" s="8" t="n"/>
      <c r="E482" s="8" t="n"/>
      <c r="F482" s="10" t="n"/>
      <c r="G482" s="10" t="n"/>
      <c r="H482" s="10" t="n"/>
      <c r="I482" s="11" t="n"/>
      <c r="J482" s="10">
        <f>IFERROR(IF(AND(F482&lt;&gt;"",G482&lt;&gt;"",I482&lt;&gt;""),ABS(F482-G482)*I482,""),"")</f>
        <v/>
      </c>
      <c r="K482" s="12">
        <f>IFERROR(IF(AND(F482&lt;&gt;"",G482&lt;&gt;"",H482&lt;&gt;""),ABS(H482-F482)/ABS(F482-G482),""),"")</f>
        <v/>
      </c>
      <c r="L482" s="9" t="n"/>
      <c r="M482" s="10" t="n"/>
      <c r="N482" s="10" t="n"/>
      <c r="O482" s="13">
        <f>IFERROR(IF(AND(M482&lt;&gt;"",F482&lt;&gt;"",I482&lt;&gt;""),IF(D482="Long",(M482-F482)*I482-IF(N482&lt;&gt;"",N482,0),IF(D482="Short",(F482-M482)*I482-IF(N482&lt;&gt;"",N482,0),"")),""),"")</f>
        <v/>
      </c>
      <c r="P482" s="14">
        <f>IFERROR(IF(AND(O482&lt;&gt;"",F482&lt;&gt;"",I482&lt;&gt;""),O482/(F482*I482),""),"")</f>
        <v/>
      </c>
      <c r="Q482" s="15">
        <f>IFERROR(IF(AND(O482&lt;&gt;"",J482&lt;&gt;"",J482&lt;&gt;0),O482/J482,""),"")</f>
        <v/>
      </c>
      <c r="R482" s="16">
        <f>IFERROR(IF(AND(L482&lt;&gt;"",B482&lt;&gt;""),L482-B482,""),"")</f>
        <v/>
      </c>
      <c r="S482" s="8" t="n"/>
      <c r="T482" s="8" t="n"/>
      <c r="U482" s="17">
        <f>IF(O482&lt;&gt;"",481,"")</f>
        <v/>
      </c>
      <c r="V482" s="18">
        <f>IF(O482&lt;&gt;"",V481+O482,V481)</f>
        <v/>
      </c>
    </row>
    <row r="483">
      <c r="A483" s="19" t="n"/>
      <c r="B483" s="20" t="n"/>
      <c r="C483" s="19" t="n"/>
      <c r="D483" s="19" t="n"/>
      <c r="E483" s="19" t="n"/>
      <c r="F483" s="21" t="n"/>
      <c r="G483" s="21" t="n"/>
      <c r="H483" s="21" t="n"/>
      <c r="I483" s="22" t="n"/>
      <c r="J483" s="21">
        <f>IFERROR(IF(AND(F483&lt;&gt;"",G483&lt;&gt;"",I483&lt;&gt;""),ABS(F483-G483)*I483,""),"")</f>
        <v/>
      </c>
      <c r="K483" s="23">
        <f>IFERROR(IF(AND(F483&lt;&gt;"",G483&lt;&gt;"",H483&lt;&gt;""),ABS(H483-F483)/ABS(F483-G483),""),"")</f>
        <v/>
      </c>
      <c r="L483" s="20" t="n"/>
      <c r="M483" s="21" t="n"/>
      <c r="N483" s="21" t="n"/>
      <c r="O483" s="24">
        <f>IFERROR(IF(AND(M483&lt;&gt;"",F483&lt;&gt;"",I483&lt;&gt;""),IF(D483="Long",(M483-F483)*I483-IF(N483&lt;&gt;"",N483,0),IF(D483="Short",(F483-M483)*I483-IF(N483&lt;&gt;"",N483,0),"")),""),"")</f>
        <v/>
      </c>
      <c r="P483" s="25">
        <f>IFERROR(IF(AND(O483&lt;&gt;"",F483&lt;&gt;"",I483&lt;&gt;""),O483/(F483*I483),""),"")</f>
        <v/>
      </c>
      <c r="Q483" s="26">
        <f>IFERROR(IF(AND(O483&lt;&gt;"",J483&lt;&gt;"",J483&lt;&gt;0),O483/J483,""),"")</f>
        <v/>
      </c>
      <c r="R483" s="27">
        <f>IFERROR(IF(AND(L483&lt;&gt;"",B483&lt;&gt;""),L483-B483,""),"")</f>
        <v/>
      </c>
      <c r="S483" s="19" t="n"/>
      <c r="T483" s="19" t="n"/>
      <c r="U483" s="17">
        <f>IF(O483&lt;&gt;"",482,"")</f>
        <v/>
      </c>
      <c r="V483" s="18">
        <f>IF(O483&lt;&gt;"",V482+O483,V482)</f>
        <v/>
      </c>
    </row>
    <row r="484">
      <c r="A484" s="8" t="n"/>
      <c r="B484" s="9" t="n"/>
      <c r="C484" s="8" t="n"/>
      <c r="D484" s="8" t="n"/>
      <c r="E484" s="8" t="n"/>
      <c r="F484" s="10" t="n"/>
      <c r="G484" s="10" t="n"/>
      <c r="H484" s="10" t="n"/>
      <c r="I484" s="11" t="n"/>
      <c r="J484" s="10">
        <f>IFERROR(IF(AND(F484&lt;&gt;"",G484&lt;&gt;"",I484&lt;&gt;""),ABS(F484-G484)*I484,""),"")</f>
        <v/>
      </c>
      <c r="K484" s="12">
        <f>IFERROR(IF(AND(F484&lt;&gt;"",G484&lt;&gt;"",H484&lt;&gt;""),ABS(H484-F484)/ABS(F484-G484),""),"")</f>
        <v/>
      </c>
      <c r="L484" s="9" t="n"/>
      <c r="M484" s="10" t="n"/>
      <c r="N484" s="10" t="n"/>
      <c r="O484" s="13">
        <f>IFERROR(IF(AND(M484&lt;&gt;"",F484&lt;&gt;"",I484&lt;&gt;""),IF(D484="Long",(M484-F484)*I484-IF(N484&lt;&gt;"",N484,0),IF(D484="Short",(F484-M484)*I484-IF(N484&lt;&gt;"",N484,0),"")),""),"")</f>
        <v/>
      </c>
      <c r="P484" s="14">
        <f>IFERROR(IF(AND(O484&lt;&gt;"",F484&lt;&gt;"",I484&lt;&gt;""),O484/(F484*I484),""),"")</f>
        <v/>
      </c>
      <c r="Q484" s="15">
        <f>IFERROR(IF(AND(O484&lt;&gt;"",J484&lt;&gt;"",J484&lt;&gt;0),O484/J484,""),"")</f>
        <v/>
      </c>
      <c r="R484" s="16">
        <f>IFERROR(IF(AND(L484&lt;&gt;"",B484&lt;&gt;""),L484-B484,""),"")</f>
        <v/>
      </c>
      <c r="S484" s="8" t="n"/>
      <c r="T484" s="8" t="n"/>
      <c r="U484" s="17">
        <f>IF(O484&lt;&gt;"",483,"")</f>
        <v/>
      </c>
      <c r="V484" s="18">
        <f>IF(O484&lt;&gt;"",V483+O484,V483)</f>
        <v/>
      </c>
    </row>
    <row r="485">
      <c r="A485" s="19" t="n"/>
      <c r="B485" s="20" t="n"/>
      <c r="C485" s="19" t="n"/>
      <c r="D485" s="19" t="n"/>
      <c r="E485" s="19" t="n"/>
      <c r="F485" s="21" t="n"/>
      <c r="G485" s="21" t="n"/>
      <c r="H485" s="21" t="n"/>
      <c r="I485" s="22" t="n"/>
      <c r="J485" s="21">
        <f>IFERROR(IF(AND(F485&lt;&gt;"",G485&lt;&gt;"",I485&lt;&gt;""),ABS(F485-G485)*I485,""),"")</f>
        <v/>
      </c>
      <c r="K485" s="23">
        <f>IFERROR(IF(AND(F485&lt;&gt;"",G485&lt;&gt;"",H485&lt;&gt;""),ABS(H485-F485)/ABS(F485-G485),""),"")</f>
        <v/>
      </c>
      <c r="L485" s="20" t="n"/>
      <c r="M485" s="21" t="n"/>
      <c r="N485" s="21" t="n"/>
      <c r="O485" s="24">
        <f>IFERROR(IF(AND(M485&lt;&gt;"",F485&lt;&gt;"",I485&lt;&gt;""),IF(D485="Long",(M485-F485)*I485-IF(N485&lt;&gt;"",N485,0),IF(D485="Short",(F485-M485)*I485-IF(N485&lt;&gt;"",N485,0),"")),""),"")</f>
        <v/>
      </c>
      <c r="P485" s="25">
        <f>IFERROR(IF(AND(O485&lt;&gt;"",F485&lt;&gt;"",I485&lt;&gt;""),O485/(F485*I485),""),"")</f>
        <v/>
      </c>
      <c r="Q485" s="26">
        <f>IFERROR(IF(AND(O485&lt;&gt;"",J485&lt;&gt;"",J485&lt;&gt;0),O485/J485,""),"")</f>
        <v/>
      </c>
      <c r="R485" s="27">
        <f>IFERROR(IF(AND(L485&lt;&gt;"",B485&lt;&gt;""),L485-B485,""),"")</f>
        <v/>
      </c>
      <c r="S485" s="19" t="n"/>
      <c r="T485" s="19" t="n"/>
      <c r="U485" s="17">
        <f>IF(O485&lt;&gt;"",484,"")</f>
        <v/>
      </c>
      <c r="V485" s="18">
        <f>IF(O485&lt;&gt;"",V484+O485,V484)</f>
        <v/>
      </c>
    </row>
    <row r="486">
      <c r="A486" s="8" t="n"/>
      <c r="B486" s="9" t="n"/>
      <c r="C486" s="8" t="n"/>
      <c r="D486" s="8" t="n"/>
      <c r="E486" s="8" t="n"/>
      <c r="F486" s="10" t="n"/>
      <c r="G486" s="10" t="n"/>
      <c r="H486" s="10" t="n"/>
      <c r="I486" s="11" t="n"/>
      <c r="J486" s="10">
        <f>IFERROR(IF(AND(F486&lt;&gt;"",G486&lt;&gt;"",I486&lt;&gt;""),ABS(F486-G486)*I486,""),"")</f>
        <v/>
      </c>
      <c r="K486" s="12">
        <f>IFERROR(IF(AND(F486&lt;&gt;"",G486&lt;&gt;"",H486&lt;&gt;""),ABS(H486-F486)/ABS(F486-G486),""),"")</f>
        <v/>
      </c>
      <c r="L486" s="9" t="n"/>
      <c r="M486" s="10" t="n"/>
      <c r="N486" s="10" t="n"/>
      <c r="O486" s="13">
        <f>IFERROR(IF(AND(M486&lt;&gt;"",F486&lt;&gt;"",I486&lt;&gt;""),IF(D486="Long",(M486-F486)*I486-IF(N486&lt;&gt;"",N486,0),IF(D486="Short",(F486-M486)*I486-IF(N486&lt;&gt;"",N486,0),"")),""),"")</f>
        <v/>
      </c>
      <c r="P486" s="14">
        <f>IFERROR(IF(AND(O486&lt;&gt;"",F486&lt;&gt;"",I486&lt;&gt;""),O486/(F486*I486),""),"")</f>
        <v/>
      </c>
      <c r="Q486" s="15">
        <f>IFERROR(IF(AND(O486&lt;&gt;"",J486&lt;&gt;"",J486&lt;&gt;0),O486/J486,""),"")</f>
        <v/>
      </c>
      <c r="R486" s="16">
        <f>IFERROR(IF(AND(L486&lt;&gt;"",B486&lt;&gt;""),L486-B486,""),"")</f>
        <v/>
      </c>
      <c r="S486" s="8" t="n"/>
      <c r="T486" s="8" t="n"/>
      <c r="U486" s="17">
        <f>IF(O486&lt;&gt;"",485,"")</f>
        <v/>
      </c>
      <c r="V486" s="18">
        <f>IF(O486&lt;&gt;"",V485+O486,V485)</f>
        <v/>
      </c>
    </row>
    <row r="487">
      <c r="A487" s="19" t="n"/>
      <c r="B487" s="20" t="n"/>
      <c r="C487" s="19" t="n"/>
      <c r="D487" s="19" t="n"/>
      <c r="E487" s="19" t="n"/>
      <c r="F487" s="21" t="n"/>
      <c r="G487" s="21" t="n"/>
      <c r="H487" s="21" t="n"/>
      <c r="I487" s="22" t="n"/>
      <c r="J487" s="21">
        <f>IFERROR(IF(AND(F487&lt;&gt;"",G487&lt;&gt;"",I487&lt;&gt;""),ABS(F487-G487)*I487,""),"")</f>
        <v/>
      </c>
      <c r="K487" s="23">
        <f>IFERROR(IF(AND(F487&lt;&gt;"",G487&lt;&gt;"",H487&lt;&gt;""),ABS(H487-F487)/ABS(F487-G487),""),"")</f>
        <v/>
      </c>
      <c r="L487" s="20" t="n"/>
      <c r="M487" s="21" t="n"/>
      <c r="N487" s="21" t="n"/>
      <c r="O487" s="24">
        <f>IFERROR(IF(AND(M487&lt;&gt;"",F487&lt;&gt;"",I487&lt;&gt;""),IF(D487="Long",(M487-F487)*I487-IF(N487&lt;&gt;"",N487,0),IF(D487="Short",(F487-M487)*I487-IF(N487&lt;&gt;"",N487,0),"")),""),"")</f>
        <v/>
      </c>
      <c r="P487" s="25">
        <f>IFERROR(IF(AND(O487&lt;&gt;"",F487&lt;&gt;"",I487&lt;&gt;""),O487/(F487*I487),""),"")</f>
        <v/>
      </c>
      <c r="Q487" s="26">
        <f>IFERROR(IF(AND(O487&lt;&gt;"",J487&lt;&gt;"",J487&lt;&gt;0),O487/J487,""),"")</f>
        <v/>
      </c>
      <c r="R487" s="27">
        <f>IFERROR(IF(AND(L487&lt;&gt;"",B487&lt;&gt;""),L487-B487,""),"")</f>
        <v/>
      </c>
      <c r="S487" s="19" t="n"/>
      <c r="T487" s="19" t="n"/>
      <c r="U487" s="17">
        <f>IF(O487&lt;&gt;"",486,"")</f>
        <v/>
      </c>
      <c r="V487" s="18">
        <f>IF(O487&lt;&gt;"",V486+O487,V486)</f>
        <v/>
      </c>
    </row>
    <row r="488">
      <c r="A488" s="8" t="n"/>
      <c r="B488" s="9" t="n"/>
      <c r="C488" s="8" t="n"/>
      <c r="D488" s="8" t="n"/>
      <c r="E488" s="8" t="n"/>
      <c r="F488" s="10" t="n"/>
      <c r="G488" s="10" t="n"/>
      <c r="H488" s="10" t="n"/>
      <c r="I488" s="11" t="n"/>
      <c r="J488" s="10">
        <f>IFERROR(IF(AND(F488&lt;&gt;"",G488&lt;&gt;"",I488&lt;&gt;""),ABS(F488-G488)*I488,""),"")</f>
        <v/>
      </c>
      <c r="K488" s="12">
        <f>IFERROR(IF(AND(F488&lt;&gt;"",G488&lt;&gt;"",H488&lt;&gt;""),ABS(H488-F488)/ABS(F488-G488),""),"")</f>
        <v/>
      </c>
      <c r="L488" s="9" t="n"/>
      <c r="M488" s="10" t="n"/>
      <c r="N488" s="10" t="n"/>
      <c r="O488" s="13">
        <f>IFERROR(IF(AND(M488&lt;&gt;"",F488&lt;&gt;"",I488&lt;&gt;""),IF(D488="Long",(M488-F488)*I488-IF(N488&lt;&gt;"",N488,0),IF(D488="Short",(F488-M488)*I488-IF(N488&lt;&gt;"",N488,0),"")),""),"")</f>
        <v/>
      </c>
      <c r="P488" s="14">
        <f>IFERROR(IF(AND(O488&lt;&gt;"",F488&lt;&gt;"",I488&lt;&gt;""),O488/(F488*I488),""),"")</f>
        <v/>
      </c>
      <c r="Q488" s="15">
        <f>IFERROR(IF(AND(O488&lt;&gt;"",J488&lt;&gt;"",J488&lt;&gt;0),O488/J488,""),"")</f>
        <v/>
      </c>
      <c r="R488" s="16">
        <f>IFERROR(IF(AND(L488&lt;&gt;"",B488&lt;&gt;""),L488-B488,""),"")</f>
        <v/>
      </c>
      <c r="S488" s="8" t="n"/>
      <c r="T488" s="8" t="n"/>
      <c r="U488" s="17">
        <f>IF(O488&lt;&gt;"",487,"")</f>
        <v/>
      </c>
      <c r="V488" s="18">
        <f>IF(O488&lt;&gt;"",V487+O488,V487)</f>
        <v/>
      </c>
    </row>
    <row r="489">
      <c r="A489" s="19" t="n"/>
      <c r="B489" s="20" t="n"/>
      <c r="C489" s="19" t="n"/>
      <c r="D489" s="19" t="n"/>
      <c r="E489" s="19" t="n"/>
      <c r="F489" s="21" t="n"/>
      <c r="G489" s="21" t="n"/>
      <c r="H489" s="21" t="n"/>
      <c r="I489" s="22" t="n"/>
      <c r="J489" s="21">
        <f>IFERROR(IF(AND(F489&lt;&gt;"",G489&lt;&gt;"",I489&lt;&gt;""),ABS(F489-G489)*I489,""),"")</f>
        <v/>
      </c>
      <c r="K489" s="23">
        <f>IFERROR(IF(AND(F489&lt;&gt;"",G489&lt;&gt;"",H489&lt;&gt;""),ABS(H489-F489)/ABS(F489-G489),""),"")</f>
        <v/>
      </c>
      <c r="L489" s="20" t="n"/>
      <c r="M489" s="21" t="n"/>
      <c r="N489" s="21" t="n"/>
      <c r="O489" s="24">
        <f>IFERROR(IF(AND(M489&lt;&gt;"",F489&lt;&gt;"",I489&lt;&gt;""),IF(D489="Long",(M489-F489)*I489-IF(N489&lt;&gt;"",N489,0),IF(D489="Short",(F489-M489)*I489-IF(N489&lt;&gt;"",N489,0),"")),""),"")</f>
        <v/>
      </c>
      <c r="P489" s="25">
        <f>IFERROR(IF(AND(O489&lt;&gt;"",F489&lt;&gt;"",I489&lt;&gt;""),O489/(F489*I489),""),"")</f>
        <v/>
      </c>
      <c r="Q489" s="26">
        <f>IFERROR(IF(AND(O489&lt;&gt;"",J489&lt;&gt;"",J489&lt;&gt;0),O489/J489,""),"")</f>
        <v/>
      </c>
      <c r="R489" s="27">
        <f>IFERROR(IF(AND(L489&lt;&gt;"",B489&lt;&gt;""),L489-B489,""),"")</f>
        <v/>
      </c>
      <c r="S489" s="19" t="n"/>
      <c r="T489" s="19" t="n"/>
      <c r="U489" s="17">
        <f>IF(O489&lt;&gt;"",488,"")</f>
        <v/>
      </c>
      <c r="V489" s="18">
        <f>IF(O489&lt;&gt;"",V488+O489,V488)</f>
        <v/>
      </c>
    </row>
    <row r="490">
      <c r="A490" s="8" t="n"/>
      <c r="B490" s="9" t="n"/>
      <c r="C490" s="8" t="n"/>
      <c r="D490" s="8" t="n"/>
      <c r="E490" s="8" t="n"/>
      <c r="F490" s="10" t="n"/>
      <c r="G490" s="10" t="n"/>
      <c r="H490" s="10" t="n"/>
      <c r="I490" s="11" t="n"/>
      <c r="J490" s="10">
        <f>IFERROR(IF(AND(F490&lt;&gt;"",G490&lt;&gt;"",I490&lt;&gt;""),ABS(F490-G490)*I490,""),"")</f>
        <v/>
      </c>
      <c r="K490" s="12">
        <f>IFERROR(IF(AND(F490&lt;&gt;"",G490&lt;&gt;"",H490&lt;&gt;""),ABS(H490-F490)/ABS(F490-G490),""),"")</f>
        <v/>
      </c>
      <c r="L490" s="9" t="n"/>
      <c r="M490" s="10" t="n"/>
      <c r="N490" s="10" t="n"/>
      <c r="O490" s="13">
        <f>IFERROR(IF(AND(M490&lt;&gt;"",F490&lt;&gt;"",I490&lt;&gt;""),IF(D490="Long",(M490-F490)*I490-IF(N490&lt;&gt;"",N490,0),IF(D490="Short",(F490-M490)*I490-IF(N490&lt;&gt;"",N490,0),"")),""),"")</f>
        <v/>
      </c>
      <c r="P490" s="14">
        <f>IFERROR(IF(AND(O490&lt;&gt;"",F490&lt;&gt;"",I490&lt;&gt;""),O490/(F490*I490),""),"")</f>
        <v/>
      </c>
      <c r="Q490" s="15">
        <f>IFERROR(IF(AND(O490&lt;&gt;"",J490&lt;&gt;"",J490&lt;&gt;0),O490/J490,""),"")</f>
        <v/>
      </c>
      <c r="R490" s="16">
        <f>IFERROR(IF(AND(L490&lt;&gt;"",B490&lt;&gt;""),L490-B490,""),"")</f>
        <v/>
      </c>
      <c r="S490" s="8" t="n"/>
      <c r="T490" s="8" t="n"/>
      <c r="U490" s="17">
        <f>IF(O490&lt;&gt;"",489,"")</f>
        <v/>
      </c>
      <c r="V490" s="18">
        <f>IF(O490&lt;&gt;"",V489+O490,V489)</f>
        <v/>
      </c>
    </row>
    <row r="491">
      <c r="A491" s="19" t="n"/>
      <c r="B491" s="20" t="n"/>
      <c r="C491" s="19" t="n"/>
      <c r="D491" s="19" t="n"/>
      <c r="E491" s="19" t="n"/>
      <c r="F491" s="21" t="n"/>
      <c r="G491" s="21" t="n"/>
      <c r="H491" s="21" t="n"/>
      <c r="I491" s="22" t="n"/>
      <c r="J491" s="21">
        <f>IFERROR(IF(AND(F491&lt;&gt;"",G491&lt;&gt;"",I491&lt;&gt;""),ABS(F491-G491)*I491,""),"")</f>
        <v/>
      </c>
      <c r="K491" s="23">
        <f>IFERROR(IF(AND(F491&lt;&gt;"",G491&lt;&gt;"",H491&lt;&gt;""),ABS(H491-F491)/ABS(F491-G491),""),"")</f>
        <v/>
      </c>
      <c r="L491" s="20" t="n"/>
      <c r="M491" s="21" t="n"/>
      <c r="N491" s="21" t="n"/>
      <c r="O491" s="24">
        <f>IFERROR(IF(AND(M491&lt;&gt;"",F491&lt;&gt;"",I491&lt;&gt;""),IF(D491="Long",(M491-F491)*I491-IF(N491&lt;&gt;"",N491,0),IF(D491="Short",(F491-M491)*I491-IF(N491&lt;&gt;"",N491,0),"")),""),"")</f>
        <v/>
      </c>
      <c r="P491" s="25">
        <f>IFERROR(IF(AND(O491&lt;&gt;"",F491&lt;&gt;"",I491&lt;&gt;""),O491/(F491*I491),""),"")</f>
        <v/>
      </c>
      <c r="Q491" s="26">
        <f>IFERROR(IF(AND(O491&lt;&gt;"",J491&lt;&gt;"",J491&lt;&gt;0),O491/J491,""),"")</f>
        <v/>
      </c>
      <c r="R491" s="27">
        <f>IFERROR(IF(AND(L491&lt;&gt;"",B491&lt;&gt;""),L491-B491,""),"")</f>
        <v/>
      </c>
      <c r="S491" s="19" t="n"/>
      <c r="T491" s="19" t="n"/>
      <c r="U491" s="17">
        <f>IF(O491&lt;&gt;"",490,"")</f>
        <v/>
      </c>
      <c r="V491" s="18">
        <f>IF(O491&lt;&gt;"",V490+O491,V490)</f>
        <v/>
      </c>
    </row>
    <row r="492">
      <c r="A492" s="8" t="n"/>
      <c r="B492" s="9" t="n"/>
      <c r="C492" s="8" t="n"/>
      <c r="D492" s="8" t="n"/>
      <c r="E492" s="8" t="n"/>
      <c r="F492" s="10" t="n"/>
      <c r="G492" s="10" t="n"/>
      <c r="H492" s="10" t="n"/>
      <c r="I492" s="11" t="n"/>
      <c r="J492" s="10">
        <f>IFERROR(IF(AND(F492&lt;&gt;"",G492&lt;&gt;"",I492&lt;&gt;""),ABS(F492-G492)*I492,""),"")</f>
        <v/>
      </c>
      <c r="K492" s="12">
        <f>IFERROR(IF(AND(F492&lt;&gt;"",G492&lt;&gt;"",H492&lt;&gt;""),ABS(H492-F492)/ABS(F492-G492),""),"")</f>
        <v/>
      </c>
      <c r="L492" s="9" t="n"/>
      <c r="M492" s="10" t="n"/>
      <c r="N492" s="10" t="n"/>
      <c r="O492" s="13">
        <f>IFERROR(IF(AND(M492&lt;&gt;"",F492&lt;&gt;"",I492&lt;&gt;""),IF(D492="Long",(M492-F492)*I492-IF(N492&lt;&gt;"",N492,0),IF(D492="Short",(F492-M492)*I492-IF(N492&lt;&gt;"",N492,0),"")),""),"")</f>
        <v/>
      </c>
      <c r="P492" s="14">
        <f>IFERROR(IF(AND(O492&lt;&gt;"",F492&lt;&gt;"",I492&lt;&gt;""),O492/(F492*I492),""),"")</f>
        <v/>
      </c>
      <c r="Q492" s="15">
        <f>IFERROR(IF(AND(O492&lt;&gt;"",J492&lt;&gt;"",J492&lt;&gt;0),O492/J492,""),"")</f>
        <v/>
      </c>
      <c r="R492" s="16">
        <f>IFERROR(IF(AND(L492&lt;&gt;"",B492&lt;&gt;""),L492-B492,""),"")</f>
        <v/>
      </c>
      <c r="S492" s="8" t="n"/>
      <c r="T492" s="8" t="n"/>
      <c r="U492" s="17">
        <f>IF(O492&lt;&gt;"",491,"")</f>
        <v/>
      </c>
      <c r="V492" s="18">
        <f>IF(O492&lt;&gt;"",V491+O492,V491)</f>
        <v/>
      </c>
    </row>
    <row r="493">
      <c r="A493" s="19" t="n"/>
      <c r="B493" s="20" t="n"/>
      <c r="C493" s="19" t="n"/>
      <c r="D493" s="19" t="n"/>
      <c r="E493" s="19" t="n"/>
      <c r="F493" s="21" t="n"/>
      <c r="G493" s="21" t="n"/>
      <c r="H493" s="21" t="n"/>
      <c r="I493" s="22" t="n"/>
      <c r="J493" s="21">
        <f>IFERROR(IF(AND(F493&lt;&gt;"",G493&lt;&gt;"",I493&lt;&gt;""),ABS(F493-G493)*I493,""),"")</f>
        <v/>
      </c>
      <c r="K493" s="23">
        <f>IFERROR(IF(AND(F493&lt;&gt;"",G493&lt;&gt;"",H493&lt;&gt;""),ABS(H493-F493)/ABS(F493-G493),""),"")</f>
        <v/>
      </c>
      <c r="L493" s="20" t="n"/>
      <c r="M493" s="21" t="n"/>
      <c r="N493" s="21" t="n"/>
      <c r="O493" s="24">
        <f>IFERROR(IF(AND(M493&lt;&gt;"",F493&lt;&gt;"",I493&lt;&gt;""),IF(D493="Long",(M493-F493)*I493-IF(N493&lt;&gt;"",N493,0),IF(D493="Short",(F493-M493)*I493-IF(N493&lt;&gt;"",N493,0),"")),""),"")</f>
        <v/>
      </c>
      <c r="P493" s="25">
        <f>IFERROR(IF(AND(O493&lt;&gt;"",F493&lt;&gt;"",I493&lt;&gt;""),O493/(F493*I493),""),"")</f>
        <v/>
      </c>
      <c r="Q493" s="26">
        <f>IFERROR(IF(AND(O493&lt;&gt;"",J493&lt;&gt;"",J493&lt;&gt;0),O493/J493,""),"")</f>
        <v/>
      </c>
      <c r="R493" s="27">
        <f>IFERROR(IF(AND(L493&lt;&gt;"",B493&lt;&gt;""),L493-B493,""),"")</f>
        <v/>
      </c>
      <c r="S493" s="19" t="n"/>
      <c r="T493" s="19" t="n"/>
      <c r="U493" s="17">
        <f>IF(O493&lt;&gt;"",492,"")</f>
        <v/>
      </c>
      <c r="V493" s="18">
        <f>IF(O493&lt;&gt;"",V492+O493,V492)</f>
        <v/>
      </c>
    </row>
    <row r="494">
      <c r="A494" s="8" t="n"/>
      <c r="B494" s="9" t="n"/>
      <c r="C494" s="8" t="n"/>
      <c r="D494" s="8" t="n"/>
      <c r="E494" s="8" t="n"/>
      <c r="F494" s="10" t="n"/>
      <c r="G494" s="10" t="n"/>
      <c r="H494" s="10" t="n"/>
      <c r="I494" s="11" t="n"/>
      <c r="J494" s="10">
        <f>IFERROR(IF(AND(F494&lt;&gt;"",G494&lt;&gt;"",I494&lt;&gt;""),ABS(F494-G494)*I494,""),"")</f>
        <v/>
      </c>
      <c r="K494" s="12">
        <f>IFERROR(IF(AND(F494&lt;&gt;"",G494&lt;&gt;"",H494&lt;&gt;""),ABS(H494-F494)/ABS(F494-G494),""),"")</f>
        <v/>
      </c>
      <c r="L494" s="9" t="n"/>
      <c r="M494" s="10" t="n"/>
      <c r="N494" s="10" t="n"/>
      <c r="O494" s="13">
        <f>IFERROR(IF(AND(M494&lt;&gt;"",F494&lt;&gt;"",I494&lt;&gt;""),IF(D494="Long",(M494-F494)*I494-IF(N494&lt;&gt;"",N494,0),IF(D494="Short",(F494-M494)*I494-IF(N494&lt;&gt;"",N494,0),"")),""),"")</f>
        <v/>
      </c>
      <c r="P494" s="14">
        <f>IFERROR(IF(AND(O494&lt;&gt;"",F494&lt;&gt;"",I494&lt;&gt;""),O494/(F494*I494),""),"")</f>
        <v/>
      </c>
      <c r="Q494" s="15">
        <f>IFERROR(IF(AND(O494&lt;&gt;"",J494&lt;&gt;"",J494&lt;&gt;0),O494/J494,""),"")</f>
        <v/>
      </c>
      <c r="R494" s="16">
        <f>IFERROR(IF(AND(L494&lt;&gt;"",B494&lt;&gt;""),L494-B494,""),"")</f>
        <v/>
      </c>
      <c r="S494" s="8" t="n"/>
      <c r="T494" s="8" t="n"/>
      <c r="U494" s="17">
        <f>IF(O494&lt;&gt;"",493,"")</f>
        <v/>
      </c>
      <c r="V494" s="18">
        <f>IF(O494&lt;&gt;"",V493+O494,V493)</f>
        <v/>
      </c>
    </row>
    <row r="495">
      <c r="A495" s="19" t="n"/>
      <c r="B495" s="20" t="n"/>
      <c r="C495" s="19" t="n"/>
      <c r="D495" s="19" t="n"/>
      <c r="E495" s="19" t="n"/>
      <c r="F495" s="21" t="n"/>
      <c r="G495" s="21" t="n"/>
      <c r="H495" s="21" t="n"/>
      <c r="I495" s="22" t="n"/>
      <c r="J495" s="21">
        <f>IFERROR(IF(AND(F495&lt;&gt;"",G495&lt;&gt;"",I495&lt;&gt;""),ABS(F495-G495)*I495,""),"")</f>
        <v/>
      </c>
      <c r="K495" s="23">
        <f>IFERROR(IF(AND(F495&lt;&gt;"",G495&lt;&gt;"",H495&lt;&gt;""),ABS(H495-F495)/ABS(F495-G495),""),"")</f>
        <v/>
      </c>
      <c r="L495" s="20" t="n"/>
      <c r="M495" s="21" t="n"/>
      <c r="N495" s="21" t="n"/>
      <c r="O495" s="24">
        <f>IFERROR(IF(AND(M495&lt;&gt;"",F495&lt;&gt;"",I495&lt;&gt;""),IF(D495="Long",(M495-F495)*I495-IF(N495&lt;&gt;"",N495,0),IF(D495="Short",(F495-M495)*I495-IF(N495&lt;&gt;"",N495,0),"")),""),"")</f>
        <v/>
      </c>
      <c r="P495" s="25">
        <f>IFERROR(IF(AND(O495&lt;&gt;"",F495&lt;&gt;"",I495&lt;&gt;""),O495/(F495*I495),""),"")</f>
        <v/>
      </c>
      <c r="Q495" s="26">
        <f>IFERROR(IF(AND(O495&lt;&gt;"",J495&lt;&gt;"",J495&lt;&gt;0),O495/J495,""),"")</f>
        <v/>
      </c>
      <c r="R495" s="27">
        <f>IFERROR(IF(AND(L495&lt;&gt;"",B495&lt;&gt;""),L495-B495,""),"")</f>
        <v/>
      </c>
      <c r="S495" s="19" t="n"/>
      <c r="T495" s="19" t="n"/>
      <c r="U495" s="17">
        <f>IF(O495&lt;&gt;"",494,"")</f>
        <v/>
      </c>
      <c r="V495" s="18">
        <f>IF(O495&lt;&gt;"",V494+O495,V494)</f>
        <v/>
      </c>
    </row>
    <row r="496">
      <c r="A496" s="8" t="n"/>
      <c r="B496" s="9" t="n"/>
      <c r="C496" s="8" t="n"/>
      <c r="D496" s="8" t="n"/>
      <c r="E496" s="8" t="n"/>
      <c r="F496" s="10" t="n"/>
      <c r="G496" s="10" t="n"/>
      <c r="H496" s="10" t="n"/>
      <c r="I496" s="11" t="n"/>
      <c r="J496" s="10">
        <f>IFERROR(IF(AND(F496&lt;&gt;"",G496&lt;&gt;"",I496&lt;&gt;""),ABS(F496-G496)*I496,""),"")</f>
        <v/>
      </c>
      <c r="K496" s="12">
        <f>IFERROR(IF(AND(F496&lt;&gt;"",G496&lt;&gt;"",H496&lt;&gt;""),ABS(H496-F496)/ABS(F496-G496),""),"")</f>
        <v/>
      </c>
      <c r="L496" s="9" t="n"/>
      <c r="M496" s="10" t="n"/>
      <c r="N496" s="10" t="n"/>
      <c r="O496" s="13">
        <f>IFERROR(IF(AND(M496&lt;&gt;"",F496&lt;&gt;"",I496&lt;&gt;""),IF(D496="Long",(M496-F496)*I496-IF(N496&lt;&gt;"",N496,0),IF(D496="Short",(F496-M496)*I496-IF(N496&lt;&gt;"",N496,0),"")),""),"")</f>
        <v/>
      </c>
      <c r="P496" s="14">
        <f>IFERROR(IF(AND(O496&lt;&gt;"",F496&lt;&gt;"",I496&lt;&gt;""),O496/(F496*I496),""),"")</f>
        <v/>
      </c>
      <c r="Q496" s="15">
        <f>IFERROR(IF(AND(O496&lt;&gt;"",J496&lt;&gt;"",J496&lt;&gt;0),O496/J496,""),"")</f>
        <v/>
      </c>
      <c r="R496" s="16">
        <f>IFERROR(IF(AND(L496&lt;&gt;"",B496&lt;&gt;""),L496-B496,""),"")</f>
        <v/>
      </c>
      <c r="S496" s="8" t="n"/>
      <c r="T496" s="8" t="n"/>
      <c r="U496" s="17">
        <f>IF(O496&lt;&gt;"",495,"")</f>
        <v/>
      </c>
      <c r="V496" s="18">
        <f>IF(O496&lt;&gt;"",V495+O496,V495)</f>
        <v/>
      </c>
    </row>
    <row r="497">
      <c r="A497" s="19" t="n"/>
      <c r="B497" s="20" t="n"/>
      <c r="C497" s="19" t="n"/>
      <c r="D497" s="19" t="n"/>
      <c r="E497" s="19" t="n"/>
      <c r="F497" s="21" t="n"/>
      <c r="G497" s="21" t="n"/>
      <c r="H497" s="21" t="n"/>
      <c r="I497" s="22" t="n"/>
      <c r="J497" s="21">
        <f>IFERROR(IF(AND(F497&lt;&gt;"",G497&lt;&gt;"",I497&lt;&gt;""),ABS(F497-G497)*I497,""),"")</f>
        <v/>
      </c>
      <c r="K497" s="23">
        <f>IFERROR(IF(AND(F497&lt;&gt;"",G497&lt;&gt;"",H497&lt;&gt;""),ABS(H497-F497)/ABS(F497-G497),""),"")</f>
        <v/>
      </c>
      <c r="L497" s="20" t="n"/>
      <c r="M497" s="21" t="n"/>
      <c r="N497" s="21" t="n"/>
      <c r="O497" s="24">
        <f>IFERROR(IF(AND(M497&lt;&gt;"",F497&lt;&gt;"",I497&lt;&gt;""),IF(D497="Long",(M497-F497)*I497-IF(N497&lt;&gt;"",N497,0),IF(D497="Short",(F497-M497)*I497-IF(N497&lt;&gt;"",N497,0),"")),""),"")</f>
        <v/>
      </c>
      <c r="P497" s="25">
        <f>IFERROR(IF(AND(O497&lt;&gt;"",F497&lt;&gt;"",I497&lt;&gt;""),O497/(F497*I497),""),"")</f>
        <v/>
      </c>
      <c r="Q497" s="26">
        <f>IFERROR(IF(AND(O497&lt;&gt;"",J497&lt;&gt;"",J497&lt;&gt;0),O497/J497,""),"")</f>
        <v/>
      </c>
      <c r="R497" s="27">
        <f>IFERROR(IF(AND(L497&lt;&gt;"",B497&lt;&gt;""),L497-B497,""),"")</f>
        <v/>
      </c>
      <c r="S497" s="19" t="n"/>
      <c r="T497" s="19" t="n"/>
      <c r="U497" s="17">
        <f>IF(O497&lt;&gt;"",496,"")</f>
        <v/>
      </c>
      <c r="V497" s="18">
        <f>IF(O497&lt;&gt;"",V496+O497,V496)</f>
        <v/>
      </c>
    </row>
    <row r="498">
      <c r="A498" s="8" t="n"/>
      <c r="B498" s="9" t="n"/>
      <c r="C498" s="8" t="n"/>
      <c r="D498" s="8" t="n"/>
      <c r="E498" s="8" t="n"/>
      <c r="F498" s="10" t="n"/>
      <c r="G498" s="10" t="n"/>
      <c r="H498" s="10" t="n"/>
      <c r="I498" s="11" t="n"/>
      <c r="J498" s="10">
        <f>IFERROR(IF(AND(F498&lt;&gt;"",G498&lt;&gt;"",I498&lt;&gt;""),ABS(F498-G498)*I498,""),"")</f>
        <v/>
      </c>
      <c r="K498" s="12">
        <f>IFERROR(IF(AND(F498&lt;&gt;"",G498&lt;&gt;"",H498&lt;&gt;""),ABS(H498-F498)/ABS(F498-G498),""),"")</f>
        <v/>
      </c>
      <c r="L498" s="9" t="n"/>
      <c r="M498" s="10" t="n"/>
      <c r="N498" s="10" t="n"/>
      <c r="O498" s="13">
        <f>IFERROR(IF(AND(M498&lt;&gt;"",F498&lt;&gt;"",I498&lt;&gt;""),IF(D498="Long",(M498-F498)*I498-IF(N498&lt;&gt;"",N498,0),IF(D498="Short",(F498-M498)*I498-IF(N498&lt;&gt;"",N498,0),"")),""),"")</f>
        <v/>
      </c>
      <c r="P498" s="14">
        <f>IFERROR(IF(AND(O498&lt;&gt;"",F498&lt;&gt;"",I498&lt;&gt;""),O498/(F498*I498),""),"")</f>
        <v/>
      </c>
      <c r="Q498" s="15">
        <f>IFERROR(IF(AND(O498&lt;&gt;"",J498&lt;&gt;"",J498&lt;&gt;0),O498/J498,""),"")</f>
        <v/>
      </c>
      <c r="R498" s="16">
        <f>IFERROR(IF(AND(L498&lt;&gt;"",B498&lt;&gt;""),L498-B498,""),"")</f>
        <v/>
      </c>
      <c r="S498" s="8" t="n"/>
      <c r="T498" s="8" t="n"/>
      <c r="U498" s="17">
        <f>IF(O498&lt;&gt;"",497,"")</f>
        <v/>
      </c>
      <c r="V498" s="18">
        <f>IF(O498&lt;&gt;"",V497+O498,V497)</f>
        <v/>
      </c>
    </row>
    <row r="499">
      <c r="A499" s="19" t="n"/>
      <c r="B499" s="20" t="n"/>
      <c r="C499" s="19" t="n"/>
      <c r="D499" s="19" t="n"/>
      <c r="E499" s="19" t="n"/>
      <c r="F499" s="21" t="n"/>
      <c r="G499" s="21" t="n"/>
      <c r="H499" s="21" t="n"/>
      <c r="I499" s="22" t="n"/>
      <c r="J499" s="21">
        <f>IFERROR(IF(AND(F499&lt;&gt;"",G499&lt;&gt;"",I499&lt;&gt;""),ABS(F499-G499)*I499,""),"")</f>
        <v/>
      </c>
      <c r="K499" s="23">
        <f>IFERROR(IF(AND(F499&lt;&gt;"",G499&lt;&gt;"",H499&lt;&gt;""),ABS(H499-F499)/ABS(F499-G499),""),"")</f>
        <v/>
      </c>
      <c r="L499" s="20" t="n"/>
      <c r="M499" s="21" t="n"/>
      <c r="N499" s="21" t="n"/>
      <c r="O499" s="24">
        <f>IFERROR(IF(AND(M499&lt;&gt;"",F499&lt;&gt;"",I499&lt;&gt;""),IF(D499="Long",(M499-F499)*I499-IF(N499&lt;&gt;"",N499,0),IF(D499="Short",(F499-M499)*I499-IF(N499&lt;&gt;"",N499,0),"")),""),"")</f>
        <v/>
      </c>
      <c r="P499" s="25">
        <f>IFERROR(IF(AND(O499&lt;&gt;"",F499&lt;&gt;"",I499&lt;&gt;""),O499/(F499*I499),""),"")</f>
        <v/>
      </c>
      <c r="Q499" s="26">
        <f>IFERROR(IF(AND(O499&lt;&gt;"",J499&lt;&gt;"",J499&lt;&gt;0),O499/J499,""),"")</f>
        <v/>
      </c>
      <c r="R499" s="27">
        <f>IFERROR(IF(AND(L499&lt;&gt;"",B499&lt;&gt;""),L499-B499,""),"")</f>
        <v/>
      </c>
      <c r="S499" s="19" t="n"/>
      <c r="T499" s="19" t="n"/>
      <c r="U499" s="17">
        <f>IF(O499&lt;&gt;"",498,"")</f>
        <v/>
      </c>
      <c r="V499" s="18">
        <f>IF(O499&lt;&gt;"",V498+O499,V498)</f>
        <v/>
      </c>
    </row>
    <row r="500">
      <c r="A500" s="8" t="n"/>
      <c r="B500" s="9" t="n"/>
      <c r="C500" s="8" t="n"/>
      <c r="D500" s="8" t="n"/>
      <c r="E500" s="8" t="n"/>
      <c r="F500" s="10" t="n"/>
      <c r="G500" s="10" t="n"/>
      <c r="H500" s="10" t="n"/>
      <c r="I500" s="11" t="n"/>
      <c r="J500" s="10">
        <f>IFERROR(IF(AND(F500&lt;&gt;"",G500&lt;&gt;"",I500&lt;&gt;""),ABS(F500-G500)*I500,""),"")</f>
        <v/>
      </c>
      <c r="K500" s="12">
        <f>IFERROR(IF(AND(F500&lt;&gt;"",G500&lt;&gt;"",H500&lt;&gt;""),ABS(H500-F500)/ABS(F500-G500),""),"")</f>
        <v/>
      </c>
      <c r="L500" s="9" t="n"/>
      <c r="M500" s="10" t="n"/>
      <c r="N500" s="10" t="n"/>
      <c r="O500" s="13">
        <f>IFERROR(IF(AND(M500&lt;&gt;"",F500&lt;&gt;"",I500&lt;&gt;""),IF(D500="Long",(M500-F500)*I500-IF(N500&lt;&gt;"",N500,0),IF(D500="Short",(F500-M500)*I500-IF(N500&lt;&gt;"",N500,0),"")),""),"")</f>
        <v/>
      </c>
      <c r="P500" s="14">
        <f>IFERROR(IF(AND(O500&lt;&gt;"",F500&lt;&gt;"",I500&lt;&gt;""),O500/(F500*I500),""),"")</f>
        <v/>
      </c>
      <c r="Q500" s="15">
        <f>IFERROR(IF(AND(O500&lt;&gt;"",J500&lt;&gt;"",J500&lt;&gt;0),O500/J500,""),"")</f>
        <v/>
      </c>
      <c r="R500" s="16">
        <f>IFERROR(IF(AND(L500&lt;&gt;"",B500&lt;&gt;""),L500-B500,""),"")</f>
        <v/>
      </c>
      <c r="S500" s="8" t="n"/>
      <c r="T500" s="8" t="n"/>
      <c r="U500" s="17">
        <f>IF(O500&lt;&gt;"",499,"")</f>
        <v/>
      </c>
      <c r="V500" s="18">
        <f>IF(O500&lt;&gt;"",V499+O500,V499)</f>
        <v/>
      </c>
    </row>
    <row r="501">
      <c r="A501" s="19" t="n"/>
      <c r="B501" s="20" t="n"/>
      <c r="C501" s="19" t="n"/>
      <c r="D501" s="19" t="n"/>
      <c r="E501" s="19" t="n"/>
      <c r="F501" s="21" t="n"/>
      <c r="G501" s="21" t="n"/>
      <c r="H501" s="21" t="n"/>
      <c r="I501" s="22" t="n"/>
      <c r="J501" s="21">
        <f>IFERROR(IF(AND(F501&lt;&gt;"",G501&lt;&gt;"",I501&lt;&gt;""),ABS(F501-G501)*I501,""),"")</f>
        <v/>
      </c>
      <c r="K501" s="23">
        <f>IFERROR(IF(AND(F501&lt;&gt;"",G501&lt;&gt;"",H501&lt;&gt;""),ABS(H501-F501)/ABS(F501-G501),""),"")</f>
        <v/>
      </c>
      <c r="L501" s="20" t="n"/>
      <c r="M501" s="21" t="n"/>
      <c r="N501" s="21" t="n"/>
      <c r="O501" s="24">
        <f>IFERROR(IF(AND(M501&lt;&gt;"",F501&lt;&gt;"",I501&lt;&gt;""),IF(D501="Long",(M501-F501)*I501-IF(N501&lt;&gt;"",N501,0),IF(D501="Short",(F501-M501)*I501-IF(N501&lt;&gt;"",N501,0),"")),""),"")</f>
        <v/>
      </c>
      <c r="P501" s="25">
        <f>IFERROR(IF(AND(O501&lt;&gt;"",F501&lt;&gt;"",I501&lt;&gt;""),O501/(F501*I501),""),"")</f>
        <v/>
      </c>
      <c r="Q501" s="26">
        <f>IFERROR(IF(AND(O501&lt;&gt;"",J501&lt;&gt;"",J501&lt;&gt;0),O501/J501,""),"")</f>
        <v/>
      </c>
      <c r="R501" s="27">
        <f>IFERROR(IF(AND(L501&lt;&gt;"",B501&lt;&gt;""),L501-B501,""),"")</f>
        <v/>
      </c>
      <c r="S501" s="19" t="n"/>
      <c r="T501" s="19" t="n"/>
      <c r="U501" s="17">
        <f>IF(O501&lt;&gt;"",500,"")</f>
        <v/>
      </c>
      <c r="V501" s="18">
        <f>IF(O501&lt;&gt;"",V500+O501,V500)</f>
        <v/>
      </c>
    </row>
    <row r="502">
      <c r="A502" s="8" t="n"/>
      <c r="B502" s="9" t="n"/>
      <c r="C502" s="8" t="n"/>
      <c r="D502" s="8" t="n"/>
      <c r="E502" s="8" t="n"/>
      <c r="F502" s="10" t="n"/>
      <c r="G502" s="10" t="n"/>
      <c r="H502" s="10" t="n"/>
      <c r="I502" s="11" t="n"/>
      <c r="J502" s="10">
        <f>IFERROR(IF(AND(F502&lt;&gt;"",G502&lt;&gt;"",I502&lt;&gt;""),ABS(F502-G502)*I502,""),"")</f>
        <v/>
      </c>
      <c r="K502" s="12">
        <f>IFERROR(IF(AND(F502&lt;&gt;"",G502&lt;&gt;"",H502&lt;&gt;""),ABS(H502-F502)/ABS(F502-G502),""),"")</f>
        <v/>
      </c>
      <c r="L502" s="9" t="n"/>
      <c r="M502" s="10" t="n"/>
      <c r="N502" s="10" t="n"/>
      <c r="O502" s="13">
        <f>IFERROR(IF(AND(M502&lt;&gt;"",F502&lt;&gt;"",I502&lt;&gt;""),IF(D502="Long",(M502-F502)*I502-IF(N502&lt;&gt;"",N502,0),IF(D502="Short",(F502-M502)*I502-IF(N502&lt;&gt;"",N502,0),"")),""),"")</f>
        <v/>
      </c>
      <c r="P502" s="14">
        <f>IFERROR(IF(AND(O502&lt;&gt;"",F502&lt;&gt;"",I502&lt;&gt;""),O502/(F502*I502),""),"")</f>
        <v/>
      </c>
      <c r="Q502" s="15">
        <f>IFERROR(IF(AND(O502&lt;&gt;"",J502&lt;&gt;"",J502&lt;&gt;0),O502/J502,""),"")</f>
        <v/>
      </c>
      <c r="R502" s="16">
        <f>IFERROR(IF(AND(L502&lt;&gt;"",B502&lt;&gt;""),L502-B502,""),"")</f>
        <v/>
      </c>
      <c r="S502" s="8" t="n"/>
      <c r="T502" s="8" t="n"/>
      <c r="U502" s="17">
        <f>IF(O502&lt;&gt;"",501,"")</f>
        <v/>
      </c>
      <c r="V502" s="18">
        <f>IF(O502&lt;&gt;"",V501+O502,V501)</f>
        <v/>
      </c>
    </row>
    <row r="503">
      <c r="A503" s="19" t="n"/>
      <c r="B503" s="20" t="n"/>
      <c r="C503" s="19" t="n"/>
      <c r="D503" s="19" t="n"/>
      <c r="E503" s="19" t="n"/>
      <c r="F503" s="21" t="n"/>
      <c r="G503" s="21" t="n"/>
      <c r="H503" s="21" t="n"/>
      <c r="I503" s="22" t="n"/>
      <c r="J503" s="21">
        <f>IFERROR(IF(AND(F503&lt;&gt;"",G503&lt;&gt;"",I503&lt;&gt;""),ABS(F503-G503)*I503,""),"")</f>
        <v/>
      </c>
      <c r="K503" s="23">
        <f>IFERROR(IF(AND(F503&lt;&gt;"",G503&lt;&gt;"",H503&lt;&gt;""),ABS(H503-F503)/ABS(F503-G503),""),"")</f>
        <v/>
      </c>
      <c r="L503" s="20" t="n"/>
      <c r="M503" s="21" t="n"/>
      <c r="N503" s="21" t="n"/>
      <c r="O503" s="24">
        <f>IFERROR(IF(AND(M503&lt;&gt;"",F503&lt;&gt;"",I503&lt;&gt;""),IF(D503="Long",(M503-F503)*I503-IF(N503&lt;&gt;"",N503,0),IF(D503="Short",(F503-M503)*I503-IF(N503&lt;&gt;"",N503,0),"")),""),"")</f>
        <v/>
      </c>
      <c r="P503" s="25">
        <f>IFERROR(IF(AND(O503&lt;&gt;"",F503&lt;&gt;"",I503&lt;&gt;""),O503/(F503*I503),""),"")</f>
        <v/>
      </c>
      <c r="Q503" s="26">
        <f>IFERROR(IF(AND(O503&lt;&gt;"",J503&lt;&gt;"",J503&lt;&gt;0),O503/J503,""),"")</f>
        <v/>
      </c>
      <c r="R503" s="27">
        <f>IFERROR(IF(AND(L503&lt;&gt;"",B503&lt;&gt;""),L503-B503,""),"")</f>
        <v/>
      </c>
      <c r="S503" s="19" t="n"/>
      <c r="T503" s="19" t="n"/>
      <c r="U503" s="17">
        <f>IF(O503&lt;&gt;"",502,"")</f>
        <v/>
      </c>
      <c r="V503" s="18">
        <f>IF(O503&lt;&gt;"",V502+O503,V502)</f>
        <v/>
      </c>
    </row>
    <row r="504">
      <c r="A504" s="8" t="n"/>
      <c r="B504" s="9" t="n"/>
      <c r="C504" s="8" t="n"/>
      <c r="D504" s="8" t="n"/>
      <c r="E504" s="8" t="n"/>
      <c r="F504" s="10" t="n"/>
      <c r="G504" s="10" t="n"/>
      <c r="H504" s="10" t="n"/>
      <c r="I504" s="11" t="n"/>
      <c r="J504" s="10">
        <f>IFERROR(IF(AND(F504&lt;&gt;"",G504&lt;&gt;"",I504&lt;&gt;""),ABS(F504-G504)*I504,""),"")</f>
        <v/>
      </c>
      <c r="K504" s="12">
        <f>IFERROR(IF(AND(F504&lt;&gt;"",G504&lt;&gt;"",H504&lt;&gt;""),ABS(H504-F504)/ABS(F504-G504),""),"")</f>
        <v/>
      </c>
      <c r="L504" s="9" t="n"/>
      <c r="M504" s="10" t="n"/>
      <c r="N504" s="10" t="n"/>
      <c r="O504" s="13">
        <f>IFERROR(IF(AND(M504&lt;&gt;"",F504&lt;&gt;"",I504&lt;&gt;""),IF(D504="Long",(M504-F504)*I504-IF(N504&lt;&gt;"",N504,0),IF(D504="Short",(F504-M504)*I504-IF(N504&lt;&gt;"",N504,0),"")),""),"")</f>
        <v/>
      </c>
      <c r="P504" s="14">
        <f>IFERROR(IF(AND(O504&lt;&gt;"",F504&lt;&gt;"",I504&lt;&gt;""),O504/(F504*I504),""),"")</f>
        <v/>
      </c>
      <c r="Q504" s="15">
        <f>IFERROR(IF(AND(O504&lt;&gt;"",J504&lt;&gt;"",J504&lt;&gt;0),O504/J504,""),"")</f>
        <v/>
      </c>
      <c r="R504" s="16">
        <f>IFERROR(IF(AND(L504&lt;&gt;"",B504&lt;&gt;""),L504-B504,""),"")</f>
        <v/>
      </c>
      <c r="S504" s="8" t="n"/>
      <c r="T504" s="8" t="n"/>
      <c r="U504" s="17">
        <f>IF(O504&lt;&gt;"",503,"")</f>
        <v/>
      </c>
      <c r="V504" s="18">
        <f>IF(O504&lt;&gt;"",V503+O504,V503)</f>
        <v/>
      </c>
    </row>
    <row r="505">
      <c r="A505" s="19" t="n"/>
      <c r="B505" s="20" t="n"/>
      <c r="C505" s="19" t="n"/>
      <c r="D505" s="19" t="n"/>
      <c r="E505" s="19" t="n"/>
      <c r="F505" s="21" t="n"/>
      <c r="G505" s="21" t="n"/>
      <c r="H505" s="21" t="n"/>
      <c r="I505" s="22" t="n"/>
      <c r="J505" s="21">
        <f>IFERROR(IF(AND(F505&lt;&gt;"",G505&lt;&gt;"",I505&lt;&gt;""),ABS(F505-G505)*I505,""),"")</f>
        <v/>
      </c>
      <c r="K505" s="23">
        <f>IFERROR(IF(AND(F505&lt;&gt;"",G505&lt;&gt;"",H505&lt;&gt;""),ABS(H505-F505)/ABS(F505-G505),""),"")</f>
        <v/>
      </c>
      <c r="L505" s="20" t="n"/>
      <c r="M505" s="21" t="n"/>
      <c r="N505" s="21" t="n"/>
      <c r="O505" s="24">
        <f>IFERROR(IF(AND(M505&lt;&gt;"",F505&lt;&gt;"",I505&lt;&gt;""),IF(D505="Long",(M505-F505)*I505-IF(N505&lt;&gt;"",N505,0),IF(D505="Short",(F505-M505)*I505-IF(N505&lt;&gt;"",N505,0),"")),""),"")</f>
        <v/>
      </c>
      <c r="P505" s="25">
        <f>IFERROR(IF(AND(O505&lt;&gt;"",F505&lt;&gt;"",I505&lt;&gt;""),O505/(F505*I505),""),"")</f>
        <v/>
      </c>
      <c r="Q505" s="26">
        <f>IFERROR(IF(AND(O505&lt;&gt;"",J505&lt;&gt;"",J505&lt;&gt;0),O505/J505,""),"")</f>
        <v/>
      </c>
      <c r="R505" s="27">
        <f>IFERROR(IF(AND(L505&lt;&gt;"",B505&lt;&gt;""),L505-B505,""),"")</f>
        <v/>
      </c>
      <c r="S505" s="19" t="n"/>
      <c r="T505" s="19" t="n"/>
      <c r="U505" s="17">
        <f>IF(O505&lt;&gt;"",504,"")</f>
        <v/>
      </c>
      <c r="V505" s="18">
        <f>IF(O505&lt;&gt;"",V504+O505,V504)</f>
        <v/>
      </c>
    </row>
    <row r="506">
      <c r="A506" s="8" t="n"/>
      <c r="B506" s="9" t="n"/>
      <c r="C506" s="8" t="n"/>
      <c r="D506" s="8" t="n"/>
      <c r="E506" s="8" t="n"/>
      <c r="F506" s="10" t="n"/>
      <c r="G506" s="10" t="n"/>
      <c r="H506" s="10" t="n"/>
      <c r="I506" s="11" t="n"/>
      <c r="J506" s="10">
        <f>IFERROR(IF(AND(F506&lt;&gt;"",G506&lt;&gt;"",I506&lt;&gt;""),ABS(F506-G506)*I506,""),"")</f>
        <v/>
      </c>
      <c r="K506" s="12">
        <f>IFERROR(IF(AND(F506&lt;&gt;"",G506&lt;&gt;"",H506&lt;&gt;""),ABS(H506-F506)/ABS(F506-G506),""),"")</f>
        <v/>
      </c>
      <c r="L506" s="9" t="n"/>
      <c r="M506" s="10" t="n"/>
      <c r="N506" s="10" t="n"/>
      <c r="O506" s="13">
        <f>IFERROR(IF(AND(M506&lt;&gt;"",F506&lt;&gt;"",I506&lt;&gt;""),IF(D506="Long",(M506-F506)*I506-IF(N506&lt;&gt;"",N506,0),IF(D506="Short",(F506-M506)*I506-IF(N506&lt;&gt;"",N506,0),"")),""),"")</f>
        <v/>
      </c>
      <c r="P506" s="14">
        <f>IFERROR(IF(AND(O506&lt;&gt;"",F506&lt;&gt;"",I506&lt;&gt;""),O506/(F506*I506),""),"")</f>
        <v/>
      </c>
      <c r="Q506" s="15">
        <f>IFERROR(IF(AND(O506&lt;&gt;"",J506&lt;&gt;"",J506&lt;&gt;0),O506/J506,""),"")</f>
        <v/>
      </c>
      <c r="R506" s="16">
        <f>IFERROR(IF(AND(L506&lt;&gt;"",B506&lt;&gt;""),L506-B506,""),"")</f>
        <v/>
      </c>
      <c r="S506" s="8" t="n"/>
      <c r="T506" s="8" t="n"/>
      <c r="U506" s="17">
        <f>IF(O506&lt;&gt;"",505,"")</f>
        <v/>
      </c>
      <c r="V506" s="18">
        <f>IF(O506&lt;&gt;"",V505+O506,V505)</f>
        <v/>
      </c>
    </row>
    <row r="507">
      <c r="A507" s="19" t="n"/>
      <c r="B507" s="20" t="n"/>
      <c r="C507" s="19" t="n"/>
      <c r="D507" s="19" t="n"/>
      <c r="E507" s="19" t="n"/>
      <c r="F507" s="21" t="n"/>
      <c r="G507" s="21" t="n"/>
      <c r="H507" s="21" t="n"/>
      <c r="I507" s="22" t="n"/>
      <c r="J507" s="21">
        <f>IFERROR(IF(AND(F507&lt;&gt;"",G507&lt;&gt;"",I507&lt;&gt;""),ABS(F507-G507)*I507,""),"")</f>
        <v/>
      </c>
      <c r="K507" s="23">
        <f>IFERROR(IF(AND(F507&lt;&gt;"",G507&lt;&gt;"",H507&lt;&gt;""),ABS(H507-F507)/ABS(F507-G507),""),"")</f>
        <v/>
      </c>
      <c r="L507" s="20" t="n"/>
      <c r="M507" s="21" t="n"/>
      <c r="N507" s="21" t="n"/>
      <c r="O507" s="24">
        <f>IFERROR(IF(AND(M507&lt;&gt;"",F507&lt;&gt;"",I507&lt;&gt;""),IF(D507="Long",(M507-F507)*I507-IF(N507&lt;&gt;"",N507,0),IF(D507="Short",(F507-M507)*I507-IF(N507&lt;&gt;"",N507,0),"")),""),"")</f>
        <v/>
      </c>
      <c r="P507" s="25">
        <f>IFERROR(IF(AND(O507&lt;&gt;"",F507&lt;&gt;"",I507&lt;&gt;""),O507/(F507*I507),""),"")</f>
        <v/>
      </c>
      <c r="Q507" s="26">
        <f>IFERROR(IF(AND(O507&lt;&gt;"",J507&lt;&gt;"",J507&lt;&gt;0),O507/J507,""),"")</f>
        <v/>
      </c>
      <c r="R507" s="27">
        <f>IFERROR(IF(AND(L507&lt;&gt;"",B507&lt;&gt;""),L507-B507,""),"")</f>
        <v/>
      </c>
      <c r="S507" s="19" t="n"/>
      <c r="T507" s="19" t="n"/>
      <c r="U507" s="17">
        <f>IF(O507&lt;&gt;"",506,"")</f>
        <v/>
      </c>
      <c r="V507" s="18">
        <f>IF(O507&lt;&gt;"",V506+O507,V506)</f>
        <v/>
      </c>
    </row>
    <row r="508">
      <c r="A508" s="8" t="n"/>
      <c r="B508" s="9" t="n"/>
      <c r="C508" s="8" t="n"/>
      <c r="D508" s="8" t="n"/>
      <c r="E508" s="8" t="n"/>
      <c r="F508" s="10" t="n"/>
      <c r="G508" s="10" t="n"/>
      <c r="H508" s="10" t="n"/>
      <c r="I508" s="11" t="n"/>
      <c r="J508" s="10">
        <f>IFERROR(IF(AND(F508&lt;&gt;"",G508&lt;&gt;"",I508&lt;&gt;""),ABS(F508-G508)*I508,""),"")</f>
        <v/>
      </c>
      <c r="K508" s="12">
        <f>IFERROR(IF(AND(F508&lt;&gt;"",G508&lt;&gt;"",H508&lt;&gt;""),ABS(H508-F508)/ABS(F508-G508),""),"")</f>
        <v/>
      </c>
      <c r="L508" s="9" t="n"/>
      <c r="M508" s="10" t="n"/>
      <c r="N508" s="10" t="n"/>
      <c r="O508" s="13">
        <f>IFERROR(IF(AND(M508&lt;&gt;"",F508&lt;&gt;"",I508&lt;&gt;""),IF(D508="Long",(M508-F508)*I508-IF(N508&lt;&gt;"",N508,0),IF(D508="Short",(F508-M508)*I508-IF(N508&lt;&gt;"",N508,0),"")),""),"")</f>
        <v/>
      </c>
      <c r="P508" s="14">
        <f>IFERROR(IF(AND(O508&lt;&gt;"",F508&lt;&gt;"",I508&lt;&gt;""),O508/(F508*I508),""),"")</f>
        <v/>
      </c>
      <c r="Q508" s="15">
        <f>IFERROR(IF(AND(O508&lt;&gt;"",J508&lt;&gt;"",J508&lt;&gt;0),O508/J508,""),"")</f>
        <v/>
      </c>
      <c r="R508" s="16">
        <f>IFERROR(IF(AND(L508&lt;&gt;"",B508&lt;&gt;""),L508-B508,""),"")</f>
        <v/>
      </c>
      <c r="S508" s="8" t="n"/>
      <c r="T508" s="8" t="n"/>
      <c r="U508" s="17">
        <f>IF(O508&lt;&gt;"",507,"")</f>
        <v/>
      </c>
      <c r="V508" s="18">
        <f>IF(O508&lt;&gt;"",V507+O508,V507)</f>
        <v/>
      </c>
    </row>
    <row r="509">
      <c r="A509" s="19" t="n"/>
      <c r="B509" s="20" t="n"/>
      <c r="C509" s="19" t="n"/>
      <c r="D509" s="19" t="n"/>
      <c r="E509" s="19" t="n"/>
      <c r="F509" s="21" t="n"/>
      <c r="G509" s="21" t="n"/>
      <c r="H509" s="21" t="n"/>
      <c r="I509" s="22" t="n"/>
      <c r="J509" s="21">
        <f>IFERROR(IF(AND(F509&lt;&gt;"",G509&lt;&gt;"",I509&lt;&gt;""),ABS(F509-G509)*I509,""),"")</f>
        <v/>
      </c>
      <c r="K509" s="23">
        <f>IFERROR(IF(AND(F509&lt;&gt;"",G509&lt;&gt;"",H509&lt;&gt;""),ABS(H509-F509)/ABS(F509-G509),""),"")</f>
        <v/>
      </c>
      <c r="L509" s="20" t="n"/>
      <c r="M509" s="21" t="n"/>
      <c r="N509" s="21" t="n"/>
      <c r="O509" s="24">
        <f>IFERROR(IF(AND(M509&lt;&gt;"",F509&lt;&gt;"",I509&lt;&gt;""),IF(D509="Long",(M509-F509)*I509-IF(N509&lt;&gt;"",N509,0),IF(D509="Short",(F509-M509)*I509-IF(N509&lt;&gt;"",N509,0),"")),""),"")</f>
        <v/>
      </c>
      <c r="P509" s="25">
        <f>IFERROR(IF(AND(O509&lt;&gt;"",F509&lt;&gt;"",I509&lt;&gt;""),O509/(F509*I509),""),"")</f>
        <v/>
      </c>
      <c r="Q509" s="26">
        <f>IFERROR(IF(AND(O509&lt;&gt;"",J509&lt;&gt;"",J509&lt;&gt;0),O509/J509,""),"")</f>
        <v/>
      </c>
      <c r="R509" s="27">
        <f>IFERROR(IF(AND(L509&lt;&gt;"",B509&lt;&gt;""),L509-B509,""),"")</f>
        <v/>
      </c>
      <c r="S509" s="19" t="n"/>
      <c r="T509" s="19" t="n"/>
      <c r="U509" s="17">
        <f>IF(O509&lt;&gt;"",508,"")</f>
        <v/>
      </c>
      <c r="V509" s="18">
        <f>IF(O509&lt;&gt;"",V508+O509,V508)</f>
        <v/>
      </c>
    </row>
    <row r="510">
      <c r="A510" s="8" t="n"/>
      <c r="B510" s="9" t="n"/>
      <c r="C510" s="8" t="n"/>
      <c r="D510" s="8" t="n"/>
      <c r="E510" s="8" t="n"/>
      <c r="F510" s="10" t="n"/>
      <c r="G510" s="10" t="n"/>
      <c r="H510" s="10" t="n"/>
      <c r="I510" s="11" t="n"/>
      <c r="J510" s="10">
        <f>IFERROR(IF(AND(F510&lt;&gt;"",G510&lt;&gt;"",I510&lt;&gt;""),ABS(F510-G510)*I510,""),"")</f>
        <v/>
      </c>
      <c r="K510" s="12">
        <f>IFERROR(IF(AND(F510&lt;&gt;"",G510&lt;&gt;"",H510&lt;&gt;""),ABS(H510-F510)/ABS(F510-G510),""),"")</f>
        <v/>
      </c>
      <c r="L510" s="9" t="n"/>
      <c r="M510" s="10" t="n"/>
      <c r="N510" s="10" t="n"/>
      <c r="O510" s="13">
        <f>IFERROR(IF(AND(M510&lt;&gt;"",F510&lt;&gt;"",I510&lt;&gt;""),IF(D510="Long",(M510-F510)*I510-IF(N510&lt;&gt;"",N510,0),IF(D510="Short",(F510-M510)*I510-IF(N510&lt;&gt;"",N510,0),"")),""),"")</f>
        <v/>
      </c>
      <c r="P510" s="14">
        <f>IFERROR(IF(AND(O510&lt;&gt;"",F510&lt;&gt;"",I510&lt;&gt;""),O510/(F510*I510),""),"")</f>
        <v/>
      </c>
      <c r="Q510" s="15">
        <f>IFERROR(IF(AND(O510&lt;&gt;"",J510&lt;&gt;"",J510&lt;&gt;0),O510/J510,""),"")</f>
        <v/>
      </c>
      <c r="R510" s="16">
        <f>IFERROR(IF(AND(L510&lt;&gt;"",B510&lt;&gt;""),L510-B510,""),"")</f>
        <v/>
      </c>
      <c r="S510" s="8" t="n"/>
      <c r="T510" s="8" t="n"/>
      <c r="U510" s="17">
        <f>IF(O510&lt;&gt;"",509,"")</f>
        <v/>
      </c>
      <c r="V510" s="18">
        <f>IF(O510&lt;&gt;"",V509+O510,V509)</f>
        <v/>
      </c>
    </row>
    <row r="511">
      <c r="A511" s="19" t="n"/>
      <c r="B511" s="20" t="n"/>
      <c r="C511" s="19" t="n"/>
      <c r="D511" s="19" t="n"/>
      <c r="E511" s="19" t="n"/>
      <c r="F511" s="21" t="n"/>
      <c r="G511" s="21" t="n"/>
      <c r="H511" s="21" t="n"/>
      <c r="I511" s="22" t="n"/>
      <c r="J511" s="21">
        <f>IFERROR(IF(AND(F511&lt;&gt;"",G511&lt;&gt;"",I511&lt;&gt;""),ABS(F511-G511)*I511,""),"")</f>
        <v/>
      </c>
      <c r="K511" s="23">
        <f>IFERROR(IF(AND(F511&lt;&gt;"",G511&lt;&gt;"",H511&lt;&gt;""),ABS(H511-F511)/ABS(F511-G511),""),"")</f>
        <v/>
      </c>
      <c r="L511" s="20" t="n"/>
      <c r="M511" s="21" t="n"/>
      <c r="N511" s="21" t="n"/>
      <c r="O511" s="24">
        <f>IFERROR(IF(AND(M511&lt;&gt;"",F511&lt;&gt;"",I511&lt;&gt;""),IF(D511="Long",(M511-F511)*I511-IF(N511&lt;&gt;"",N511,0),IF(D511="Short",(F511-M511)*I511-IF(N511&lt;&gt;"",N511,0),"")),""),"")</f>
        <v/>
      </c>
      <c r="P511" s="25">
        <f>IFERROR(IF(AND(O511&lt;&gt;"",F511&lt;&gt;"",I511&lt;&gt;""),O511/(F511*I511),""),"")</f>
        <v/>
      </c>
      <c r="Q511" s="26">
        <f>IFERROR(IF(AND(O511&lt;&gt;"",J511&lt;&gt;"",J511&lt;&gt;0),O511/J511,""),"")</f>
        <v/>
      </c>
      <c r="R511" s="27">
        <f>IFERROR(IF(AND(L511&lt;&gt;"",B511&lt;&gt;""),L511-B511,""),"")</f>
        <v/>
      </c>
      <c r="S511" s="19" t="n"/>
      <c r="T511" s="19" t="n"/>
      <c r="U511" s="17">
        <f>IF(O511&lt;&gt;"",510,"")</f>
        <v/>
      </c>
      <c r="V511" s="18">
        <f>IF(O511&lt;&gt;"",V510+O511,V510)</f>
        <v/>
      </c>
    </row>
    <row r="512">
      <c r="A512" s="8" t="n"/>
      <c r="B512" s="9" t="n"/>
      <c r="C512" s="8" t="n"/>
      <c r="D512" s="8" t="n"/>
      <c r="E512" s="8" t="n"/>
      <c r="F512" s="10" t="n"/>
      <c r="G512" s="10" t="n"/>
      <c r="H512" s="10" t="n"/>
      <c r="I512" s="11" t="n"/>
      <c r="J512" s="10">
        <f>IFERROR(IF(AND(F512&lt;&gt;"",G512&lt;&gt;"",I512&lt;&gt;""),ABS(F512-G512)*I512,""),"")</f>
        <v/>
      </c>
      <c r="K512" s="12">
        <f>IFERROR(IF(AND(F512&lt;&gt;"",G512&lt;&gt;"",H512&lt;&gt;""),ABS(H512-F512)/ABS(F512-G512),""),"")</f>
        <v/>
      </c>
      <c r="L512" s="9" t="n"/>
      <c r="M512" s="10" t="n"/>
      <c r="N512" s="10" t="n"/>
      <c r="O512" s="13">
        <f>IFERROR(IF(AND(M512&lt;&gt;"",F512&lt;&gt;"",I512&lt;&gt;""),IF(D512="Long",(M512-F512)*I512-IF(N512&lt;&gt;"",N512,0),IF(D512="Short",(F512-M512)*I512-IF(N512&lt;&gt;"",N512,0),"")),""),"")</f>
        <v/>
      </c>
      <c r="P512" s="14">
        <f>IFERROR(IF(AND(O512&lt;&gt;"",F512&lt;&gt;"",I512&lt;&gt;""),O512/(F512*I512),""),"")</f>
        <v/>
      </c>
      <c r="Q512" s="15">
        <f>IFERROR(IF(AND(O512&lt;&gt;"",J512&lt;&gt;"",J512&lt;&gt;0),O512/J512,""),"")</f>
        <v/>
      </c>
      <c r="R512" s="16">
        <f>IFERROR(IF(AND(L512&lt;&gt;"",B512&lt;&gt;""),L512-B512,""),"")</f>
        <v/>
      </c>
      <c r="S512" s="8" t="n"/>
      <c r="T512" s="8" t="n"/>
      <c r="U512" s="17">
        <f>IF(O512&lt;&gt;"",511,"")</f>
        <v/>
      </c>
      <c r="V512" s="18">
        <f>IF(O512&lt;&gt;"",V511+O512,V511)</f>
        <v/>
      </c>
    </row>
    <row r="513">
      <c r="A513" s="19" t="n"/>
      <c r="B513" s="20" t="n"/>
      <c r="C513" s="19" t="n"/>
      <c r="D513" s="19" t="n"/>
      <c r="E513" s="19" t="n"/>
      <c r="F513" s="21" t="n"/>
      <c r="G513" s="21" t="n"/>
      <c r="H513" s="21" t="n"/>
      <c r="I513" s="22" t="n"/>
      <c r="J513" s="21">
        <f>IFERROR(IF(AND(F513&lt;&gt;"",G513&lt;&gt;"",I513&lt;&gt;""),ABS(F513-G513)*I513,""),"")</f>
        <v/>
      </c>
      <c r="K513" s="23">
        <f>IFERROR(IF(AND(F513&lt;&gt;"",G513&lt;&gt;"",H513&lt;&gt;""),ABS(H513-F513)/ABS(F513-G513),""),"")</f>
        <v/>
      </c>
      <c r="L513" s="20" t="n"/>
      <c r="M513" s="21" t="n"/>
      <c r="N513" s="21" t="n"/>
      <c r="O513" s="24">
        <f>IFERROR(IF(AND(M513&lt;&gt;"",F513&lt;&gt;"",I513&lt;&gt;""),IF(D513="Long",(M513-F513)*I513-IF(N513&lt;&gt;"",N513,0),IF(D513="Short",(F513-M513)*I513-IF(N513&lt;&gt;"",N513,0),"")),""),"")</f>
        <v/>
      </c>
      <c r="P513" s="25">
        <f>IFERROR(IF(AND(O513&lt;&gt;"",F513&lt;&gt;"",I513&lt;&gt;""),O513/(F513*I513),""),"")</f>
        <v/>
      </c>
      <c r="Q513" s="26">
        <f>IFERROR(IF(AND(O513&lt;&gt;"",J513&lt;&gt;"",J513&lt;&gt;0),O513/J513,""),"")</f>
        <v/>
      </c>
      <c r="R513" s="27">
        <f>IFERROR(IF(AND(L513&lt;&gt;"",B513&lt;&gt;""),L513-B513,""),"")</f>
        <v/>
      </c>
      <c r="S513" s="19" t="n"/>
      <c r="T513" s="19" t="n"/>
      <c r="U513" s="17">
        <f>IF(O513&lt;&gt;"",512,"")</f>
        <v/>
      </c>
      <c r="V513" s="18">
        <f>IF(O513&lt;&gt;"",V512+O513,V512)</f>
        <v/>
      </c>
    </row>
    <row r="514">
      <c r="A514" s="8" t="n"/>
      <c r="B514" s="9" t="n"/>
      <c r="C514" s="8" t="n"/>
      <c r="D514" s="8" t="n"/>
      <c r="E514" s="8" t="n"/>
      <c r="F514" s="10" t="n"/>
      <c r="G514" s="10" t="n"/>
      <c r="H514" s="10" t="n"/>
      <c r="I514" s="11" t="n"/>
      <c r="J514" s="10">
        <f>IFERROR(IF(AND(F514&lt;&gt;"",G514&lt;&gt;"",I514&lt;&gt;""),ABS(F514-G514)*I514,""),"")</f>
        <v/>
      </c>
      <c r="K514" s="12">
        <f>IFERROR(IF(AND(F514&lt;&gt;"",G514&lt;&gt;"",H514&lt;&gt;""),ABS(H514-F514)/ABS(F514-G514),""),"")</f>
        <v/>
      </c>
      <c r="L514" s="9" t="n"/>
      <c r="M514" s="10" t="n"/>
      <c r="N514" s="10" t="n"/>
      <c r="O514" s="13">
        <f>IFERROR(IF(AND(M514&lt;&gt;"",F514&lt;&gt;"",I514&lt;&gt;""),IF(D514="Long",(M514-F514)*I514-IF(N514&lt;&gt;"",N514,0),IF(D514="Short",(F514-M514)*I514-IF(N514&lt;&gt;"",N514,0),"")),""),"")</f>
        <v/>
      </c>
      <c r="P514" s="14">
        <f>IFERROR(IF(AND(O514&lt;&gt;"",F514&lt;&gt;"",I514&lt;&gt;""),O514/(F514*I514),""),"")</f>
        <v/>
      </c>
      <c r="Q514" s="15">
        <f>IFERROR(IF(AND(O514&lt;&gt;"",J514&lt;&gt;"",J514&lt;&gt;0),O514/J514,""),"")</f>
        <v/>
      </c>
      <c r="R514" s="16">
        <f>IFERROR(IF(AND(L514&lt;&gt;"",B514&lt;&gt;""),L514-B514,""),"")</f>
        <v/>
      </c>
      <c r="S514" s="8" t="n"/>
      <c r="T514" s="8" t="n"/>
      <c r="U514" s="17">
        <f>IF(O514&lt;&gt;"",513,"")</f>
        <v/>
      </c>
      <c r="V514" s="18">
        <f>IF(O514&lt;&gt;"",V513+O514,V513)</f>
        <v/>
      </c>
    </row>
    <row r="515">
      <c r="A515" s="19" t="n"/>
      <c r="B515" s="20" t="n"/>
      <c r="C515" s="19" t="n"/>
      <c r="D515" s="19" t="n"/>
      <c r="E515" s="19" t="n"/>
      <c r="F515" s="21" t="n"/>
      <c r="G515" s="21" t="n"/>
      <c r="H515" s="21" t="n"/>
      <c r="I515" s="22" t="n"/>
      <c r="J515" s="21">
        <f>IFERROR(IF(AND(F515&lt;&gt;"",G515&lt;&gt;"",I515&lt;&gt;""),ABS(F515-G515)*I515,""),"")</f>
        <v/>
      </c>
      <c r="K515" s="23">
        <f>IFERROR(IF(AND(F515&lt;&gt;"",G515&lt;&gt;"",H515&lt;&gt;""),ABS(H515-F515)/ABS(F515-G515),""),"")</f>
        <v/>
      </c>
      <c r="L515" s="20" t="n"/>
      <c r="M515" s="21" t="n"/>
      <c r="N515" s="21" t="n"/>
      <c r="O515" s="24">
        <f>IFERROR(IF(AND(M515&lt;&gt;"",F515&lt;&gt;"",I515&lt;&gt;""),IF(D515="Long",(M515-F515)*I515-IF(N515&lt;&gt;"",N515,0),IF(D515="Short",(F515-M515)*I515-IF(N515&lt;&gt;"",N515,0),"")),""),"")</f>
        <v/>
      </c>
      <c r="P515" s="25">
        <f>IFERROR(IF(AND(O515&lt;&gt;"",F515&lt;&gt;"",I515&lt;&gt;""),O515/(F515*I515),""),"")</f>
        <v/>
      </c>
      <c r="Q515" s="26">
        <f>IFERROR(IF(AND(O515&lt;&gt;"",J515&lt;&gt;"",J515&lt;&gt;0),O515/J515,""),"")</f>
        <v/>
      </c>
      <c r="R515" s="27">
        <f>IFERROR(IF(AND(L515&lt;&gt;"",B515&lt;&gt;""),L515-B515,""),"")</f>
        <v/>
      </c>
      <c r="S515" s="19" t="n"/>
      <c r="T515" s="19" t="n"/>
      <c r="U515" s="17">
        <f>IF(O515&lt;&gt;"",514,"")</f>
        <v/>
      </c>
      <c r="V515" s="18">
        <f>IF(O515&lt;&gt;"",V514+O515,V514)</f>
        <v/>
      </c>
    </row>
    <row r="516">
      <c r="A516" s="8" t="n"/>
      <c r="B516" s="9" t="n"/>
      <c r="C516" s="8" t="n"/>
      <c r="D516" s="8" t="n"/>
      <c r="E516" s="8" t="n"/>
      <c r="F516" s="10" t="n"/>
      <c r="G516" s="10" t="n"/>
      <c r="H516" s="10" t="n"/>
      <c r="I516" s="11" t="n"/>
      <c r="J516" s="10">
        <f>IFERROR(IF(AND(F516&lt;&gt;"",G516&lt;&gt;"",I516&lt;&gt;""),ABS(F516-G516)*I516,""),"")</f>
        <v/>
      </c>
      <c r="K516" s="12">
        <f>IFERROR(IF(AND(F516&lt;&gt;"",G516&lt;&gt;"",H516&lt;&gt;""),ABS(H516-F516)/ABS(F516-G516),""),"")</f>
        <v/>
      </c>
      <c r="L516" s="9" t="n"/>
      <c r="M516" s="10" t="n"/>
      <c r="N516" s="10" t="n"/>
      <c r="O516" s="13">
        <f>IFERROR(IF(AND(M516&lt;&gt;"",F516&lt;&gt;"",I516&lt;&gt;""),IF(D516="Long",(M516-F516)*I516-IF(N516&lt;&gt;"",N516,0),IF(D516="Short",(F516-M516)*I516-IF(N516&lt;&gt;"",N516,0),"")),""),"")</f>
        <v/>
      </c>
      <c r="P516" s="14">
        <f>IFERROR(IF(AND(O516&lt;&gt;"",F516&lt;&gt;"",I516&lt;&gt;""),O516/(F516*I516),""),"")</f>
        <v/>
      </c>
      <c r="Q516" s="15">
        <f>IFERROR(IF(AND(O516&lt;&gt;"",J516&lt;&gt;"",J516&lt;&gt;0),O516/J516,""),"")</f>
        <v/>
      </c>
      <c r="R516" s="16">
        <f>IFERROR(IF(AND(L516&lt;&gt;"",B516&lt;&gt;""),L516-B516,""),"")</f>
        <v/>
      </c>
      <c r="S516" s="8" t="n"/>
      <c r="T516" s="8" t="n"/>
      <c r="U516" s="17">
        <f>IF(O516&lt;&gt;"",515,"")</f>
        <v/>
      </c>
      <c r="V516" s="18">
        <f>IF(O516&lt;&gt;"",V515+O516,V515)</f>
        <v/>
      </c>
    </row>
    <row r="517">
      <c r="A517" s="19" t="n"/>
      <c r="B517" s="20" t="n"/>
      <c r="C517" s="19" t="n"/>
      <c r="D517" s="19" t="n"/>
      <c r="E517" s="19" t="n"/>
      <c r="F517" s="21" t="n"/>
      <c r="G517" s="21" t="n"/>
      <c r="H517" s="21" t="n"/>
      <c r="I517" s="22" t="n"/>
      <c r="J517" s="21">
        <f>IFERROR(IF(AND(F517&lt;&gt;"",G517&lt;&gt;"",I517&lt;&gt;""),ABS(F517-G517)*I517,""),"")</f>
        <v/>
      </c>
      <c r="K517" s="23">
        <f>IFERROR(IF(AND(F517&lt;&gt;"",G517&lt;&gt;"",H517&lt;&gt;""),ABS(H517-F517)/ABS(F517-G517),""),"")</f>
        <v/>
      </c>
      <c r="L517" s="20" t="n"/>
      <c r="M517" s="21" t="n"/>
      <c r="N517" s="21" t="n"/>
      <c r="O517" s="24">
        <f>IFERROR(IF(AND(M517&lt;&gt;"",F517&lt;&gt;"",I517&lt;&gt;""),IF(D517="Long",(M517-F517)*I517-IF(N517&lt;&gt;"",N517,0),IF(D517="Short",(F517-M517)*I517-IF(N517&lt;&gt;"",N517,0),"")),""),"")</f>
        <v/>
      </c>
      <c r="P517" s="25">
        <f>IFERROR(IF(AND(O517&lt;&gt;"",F517&lt;&gt;"",I517&lt;&gt;""),O517/(F517*I517),""),"")</f>
        <v/>
      </c>
      <c r="Q517" s="26">
        <f>IFERROR(IF(AND(O517&lt;&gt;"",J517&lt;&gt;"",J517&lt;&gt;0),O517/J517,""),"")</f>
        <v/>
      </c>
      <c r="R517" s="27">
        <f>IFERROR(IF(AND(L517&lt;&gt;"",B517&lt;&gt;""),L517-B517,""),"")</f>
        <v/>
      </c>
      <c r="S517" s="19" t="n"/>
      <c r="T517" s="19" t="n"/>
      <c r="U517" s="17">
        <f>IF(O517&lt;&gt;"",516,"")</f>
        <v/>
      </c>
      <c r="V517" s="18">
        <f>IF(O517&lt;&gt;"",V516+O517,V516)</f>
        <v/>
      </c>
    </row>
    <row r="518">
      <c r="A518" s="8" t="n"/>
      <c r="B518" s="9" t="n"/>
      <c r="C518" s="8" t="n"/>
      <c r="D518" s="8" t="n"/>
      <c r="E518" s="8" t="n"/>
      <c r="F518" s="10" t="n"/>
      <c r="G518" s="10" t="n"/>
      <c r="H518" s="10" t="n"/>
      <c r="I518" s="11" t="n"/>
      <c r="J518" s="10">
        <f>IFERROR(IF(AND(F518&lt;&gt;"",G518&lt;&gt;"",I518&lt;&gt;""),ABS(F518-G518)*I518,""),"")</f>
        <v/>
      </c>
      <c r="K518" s="12">
        <f>IFERROR(IF(AND(F518&lt;&gt;"",G518&lt;&gt;"",H518&lt;&gt;""),ABS(H518-F518)/ABS(F518-G518),""),"")</f>
        <v/>
      </c>
      <c r="L518" s="9" t="n"/>
      <c r="M518" s="10" t="n"/>
      <c r="N518" s="10" t="n"/>
      <c r="O518" s="13">
        <f>IFERROR(IF(AND(M518&lt;&gt;"",F518&lt;&gt;"",I518&lt;&gt;""),IF(D518="Long",(M518-F518)*I518-IF(N518&lt;&gt;"",N518,0),IF(D518="Short",(F518-M518)*I518-IF(N518&lt;&gt;"",N518,0),"")),""),"")</f>
        <v/>
      </c>
      <c r="P518" s="14">
        <f>IFERROR(IF(AND(O518&lt;&gt;"",F518&lt;&gt;"",I518&lt;&gt;""),O518/(F518*I518),""),"")</f>
        <v/>
      </c>
      <c r="Q518" s="15">
        <f>IFERROR(IF(AND(O518&lt;&gt;"",J518&lt;&gt;"",J518&lt;&gt;0),O518/J518,""),"")</f>
        <v/>
      </c>
      <c r="R518" s="16">
        <f>IFERROR(IF(AND(L518&lt;&gt;"",B518&lt;&gt;""),L518-B518,""),"")</f>
        <v/>
      </c>
      <c r="S518" s="8" t="n"/>
      <c r="T518" s="8" t="n"/>
      <c r="U518" s="17">
        <f>IF(O518&lt;&gt;"",517,"")</f>
        <v/>
      </c>
      <c r="V518" s="18">
        <f>IF(O518&lt;&gt;"",V517+O518,V517)</f>
        <v/>
      </c>
    </row>
    <row r="519">
      <c r="A519" s="19" t="n"/>
      <c r="B519" s="20" t="n"/>
      <c r="C519" s="19" t="n"/>
      <c r="D519" s="19" t="n"/>
      <c r="E519" s="19" t="n"/>
      <c r="F519" s="21" t="n"/>
      <c r="G519" s="21" t="n"/>
      <c r="H519" s="21" t="n"/>
      <c r="I519" s="22" t="n"/>
      <c r="J519" s="21">
        <f>IFERROR(IF(AND(F519&lt;&gt;"",G519&lt;&gt;"",I519&lt;&gt;""),ABS(F519-G519)*I519,""),"")</f>
        <v/>
      </c>
      <c r="K519" s="23">
        <f>IFERROR(IF(AND(F519&lt;&gt;"",G519&lt;&gt;"",H519&lt;&gt;""),ABS(H519-F519)/ABS(F519-G519),""),"")</f>
        <v/>
      </c>
      <c r="L519" s="20" t="n"/>
      <c r="M519" s="21" t="n"/>
      <c r="N519" s="21" t="n"/>
      <c r="O519" s="24">
        <f>IFERROR(IF(AND(M519&lt;&gt;"",F519&lt;&gt;"",I519&lt;&gt;""),IF(D519="Long",(M519-F519)*I519-IF(N519&lt;&gt;"",N519,0),IF(D519="Short",(F519-M519)*I519-IF(N519&lt;&gt;"",N519,0),"")),""),"")</f>
        <v/>
      </c>
      <c r="P519" s="25">
        <f>IFERROR(IF(AND(O519&lt;&gt;"",F519&lt;&gt;"",I519&lt;&gt;""),O519/(F519*I519),""),"")</f>
        <v/>
      </c>
      <c r="Q519" s="26">
        <f>IFERROR(IF(AND(O519&lt;&gt;"",J519&lt;&gt;"",J519&lt;&gt;0),O519/J519,""),"")</f>
        <v/>
      </c>
      <c r="R519" s="27">
        <f>IFERROR(IF(AND(L519&lt;&gt;"",B519&lt;&gt;""),L519-B519,""),"")</f>
        <v/>
      </c>
      <c r="S519" s="19" t="n"/>
      <c r="T519" s="19" t="n"/>
      <c r="U519" s="17">
        <f>IF(O519&lt;&gt;"",518,"")</f>
        <v/>
      </c>
      <c r="V519" s="18">
        <f>IF(O519&lt;&gt;"",V518+O519,V518)</f>
        <v/>
      </c>
    </row>
    <row r="520">
      <c r="A520" s="8" t="n"/>
      <c r="B520" s="9" t="n"/>
      <c r="C520" s="8" t="n"/>
      <c r="D520" s="8" t="n"/>
      <c r="E520" s="8" t="n"/>
      <c r="F520" s="10" t="n"/>
      <c r="G520" s="10" t="n"/>
      <c r="H520" s="10" t="n"/>
      <c r="I520" s="11" t="n"/>
      <c r="J520" s="10">
        <f>IFERROR(IF(AND(F520&lt;&gt;"",G520&lt;&gt;"",I520&lt;&gt;""),ABS(F520-G520)*I520,""),"")</f>
        <v/>
      </c>
      <c r="K520" s="12">
        <f>IFERROR(IF(AND(F520&lt;&gt;"",G520&lt;&gt;"",H520&lt;&gt;""),ABS(H520-F520)/ABS(F520-G520),""),"")</f>
        <v/>
      </c>
      <c r="L520" s="9" t="n"/>
      <c r="M520" s="10" t="n"/>
      <c r="N520" s="10" t="n"/>
      <c r="O520" s="13">
        <f>IFERROR(IF(AND(M520&lt;&gt;"",F520&lt;&gt;"",I520&lt;&gt;""),IF(D520="Long",(M520-F520)*I520-IF(N520&lt;&gt;"",N520,0),IF(D520="Short",(F520-M520)*I520-IF(N520&lt;&gt;"",N520,0),"")),""),"")</f>
        <v/>
      </c>
      <c r="P520" s="14">
        <f>IFERROR(IF(AND(O520&lt;&gt;"",F520&lt;&gt;"",I520&lt;&gt;""),O520/(F520*I520),""),"")</f>
        <v/>
      </c>
      <c r="Q520" s="15">
        <f>IFERROR(IF(AND(O520&lt;&gt;"",J520&lt;&gt;"",J520&lt;&gt;0),O520/J520,""),"")</f>
        <v/>
      </c>
      <c r="R520" s="16">
        <f>IFERROR(IF(AND(L520&lt;&gt;"",B520&lt;&gt;""),L520-B520,""),"")</f>
        <v/>
      </c>
      <c r="S520" s="8" t="n"/>
      <c r="T520" s="8" t="n"/>
      <c r="U520" s="17">
        <f>IF(O520&lt;&gt;"",519,"")</f>
        <v/>
      </c>
      <c r="V520" s="18">
        <f>IF(O520&lt;&gt;"",V519+O520,V519)</f>
        <v/>
      </c>
    </row>
    <row r="521">
      <c r="A521" s="19" t="n"/>
      <c r="B521" s="20" t="n"/>
      <c r="C521" s="19" t="n"/>
      <c r="D521" s="19" t="n"/>
      <c r="E521" s="19" t="n"/>
      <c r="F521" s="21" t="n"/>
      <c r="G521" s="21" t="n"/>
      <c r="H521" s="21" t="n"/>
      <c r="I521" s="22" t="n"/>
      <c r="J521" s="21">
        <f>IFERROR(IF(AND(F521&lt;&gt;"",G521&lt;&gt;"",I521&lt;&gt;""),ABS(F521-G521)*I521,""),"")</f>
        <v/>
      </c>
      <c r="K521" s="23">
        <f>IFERROR(IF(AND(F521&lt;&gt;"",G521&lt;&gt;"",H521&lt;&gt;""),ABS(H521-F521)/ABS(F521-G521),""),"")</f>
        <v/>
      </c>
      <c r="L521" s="20" t="n"/>
      <c r="M521" s="21" t="n"/>
      <c r="N521" s="21" t="n"/>
      <c r="O521" s="24">
        <f>IFERROR(IF(AND(M521&lt;&gt;"",F521&lt;&gt;"",I521&lt;&gt;""),IF(D521="Long",(M521-F521)*I521-IF(N521&lt;&gt;"",N521,0),IF(D521="Short",(F521-M521)*I521-IF(N521&lt;&gt;"",N521,0),"")),""),"")</f>
        <v/>
      </c>
      <c r="P521" s="25">
        <f>IFERROR(IF(AND(O521&lt;&gt;"",F521&lt;&gt;"",I521&lt;&gt;""),O521/(F521*I521),""),"")</f>
        <v/>
      </c>
      <c r="Q521" s="26">
        <f>IFERROR(IF(AND(O521&lt;&gt;"",J521&lt;&gt;"",J521&lt;&gt;0),O521/J521,""),"")</f>
        <v/>
      </c>
      <c r="R521" s="27">
        <f>IFERROR(IF(AND(L521&lt;&gt;"",B521&lt;&gt;""),L521-B521,""),"")</f>
        <v/>
      </c>
      <c r="S521" s="19" t="n"/>
      <c r="T521" s="19" t="n"/>
      <c r="U521" s="17">
        <f>IF(O521&lt;&gt;"",520,"")</f>
        <v/>
      </c>
      <c r="V521" s="18">
        <f>IF(O521&lt;&gt;"",V520+O521,V520)</f>
        <v/>
      </c>
    </row>
    <row r="522">
      <c r="A522" s="8" t="n"/>
      <c r="B522" s="9" t="n"/>
      <c r="C522" s="8" t="n"/>
      <c r="D522" s="8" t="n"/>
      <c r="E522" s="8" t="n"/>
      <c r="F522" s="10" t="n"/>
      <c r="G522" s="10" t="n"/>
      <c r="H522" s="10" t="n"/>
      <c r="I522" s="11" t="n"/>
      <c r="J522" s="10">
        <f>IFERROR(IF(AND(F522&lt;&gt;"",G522&lt;&gt;"",I522&lt;&gt;""),ABS(F522-G522)*I522,""),"")</f>
        <v/>
      </c>
      <c r="K522" s="12">
        <f>IFERROR(IF(AND(F522&lt;&gt;"",G522&lt;&gt;"",H522&lt;&gt;""),ABS(H522-F522)/ABS(F522-G522),""),"")</f>
        <v/>
      </c>
      <c r="L522" s="9" t="n"/>
      <c r="M522" s="10" t="n"/>
      <c r="N522" s="10" t="n"/>
      <c r="O522" s="13">
        <f>IFERROR(IF(AND(M522&lt;&gt;"",F522&lt;&gt;"",I522&lt;&gt;""),IF(D522="Long",(M522-F522)*I522-IF(N522&lt;&gt;"",N522,0),IF(D522="Short",(F522-M522)*I522-IF(N522&lt;&gt;"",N522,0),"")),""),"")</f>
        <v/>
      </c>
      <c r="P522" s="14">
        <f>IFERROR(IF(AND(O522&lt;&gt;"",F522&lt;&gt;"",I522&lt;&gt;""),O522/(F522*I522),""),"")</f>
        <v/>
      </c>
      <c r="Q522" s="15">
        <f>IFERROR(IF(AND(O522&lt;&gt;"",J522&lt;&gt;"",J522&lt;&gt;0),O522/J522,""),"")</f>
        <v/>
      </c>
      <c r="R522" s="16">
        <f>IFERROR(IF(AND(L522&lt;&gt;"",B522&lt;&gt;""),L522-B522,""),"")</f>
        <v/>
      </c>
      <c r="S522" s="8" t="n"/>
      <c r="T522" s="8" t="n"/>
      <c r="U522" s="17">
        <f>IF(O522&lt;&gt;"",521,"")</f>
        <v/>
      </c>
      <c r="V522" s="18">
        <f>IF(O522&lt;&gt;"",V521+O522,V521)</f>
        <v/>
      </c>
    </row>
    <row r="523">
      <c r="A523" s="19" t="n"/>
      <c r="B523" s="20" t="n"/>
      <c r="C523" s="19" t="n"/>
      <c r="D523" s="19" t="n"/>
      <c r="E523" s="19" t="n"/>
      <c r="F523" s="21" t="n"/>
      <c r="G523" s="21" t="n"/>
      <c r="H523" s="21" t="n"/>
      <c r="I523" s="22" t="n"/>
      <c r="J523" s="21">
        <f>IFERROR(IF(AND(F523&lt;&gt;"",G523&lt;&gt;"",I523&lt;&gt;""),ABS(F523-G523)*I523,""),"")</f>
        <v/>
      </c>
      <c r="K523" s="23">
        <f>IFERROR(IF(AND(F523&lt;&gt;"",G523&lt;&gt;"",H523&lt;&gt;""),ABS(H523-F523)/ABS(F523-G523),""),"")</f>
        <v/>
      </c>
      <c r="L523" s="20" t="n"/>
      <c r="M523" s="21" t="n"/>
      <c r="N523" s="21" t="n"/>
      <c r="O523" s="24">
        <f>IFERROR(IF(AND(M523&lt;&gt;"",F523&lt;&gt;"",I523&lt;&gt;""),IF(D523="Long",(M523-F523)*I523-IF(N523&lt;&gt;"",N523,0),IF(D523="Short",(F523-M523)*I523-IF(N523&lt;&gt;"",N523,0),"")),""),"")</f>
        <v/>
      </c>
      <c r="P523" s="25">
        <f>IFERROR(IF(AND(O523&lt;&gt;"",F523&lt;&gt;"",I523&lt;&gt;""),O523/(F523*I523),""),"")</f>
        <v/>
      </c>
      <c r="Q523" s="26">
        <f>IFERROR(IF(AND(O523&lt;&gt;"",J523&lt;&gt;"",J523&lt;&gt;0),O523/J523,""),"")</f>
        <v/>
      </c>
      <c r="R523" s="27">
        <f>IFERROR(IF(AND(L523&lt;&gt;"",B523&lt;&gt;""),L523-B523,""),"")</f>
        <v/>
      </c>
      <c r="S523" s="19" t="n"/>
      <c r="T523" s="19" t="n"/>
      <c r="U523" s="17">
        <f>IF(O523&lt;&gt;"",522,"")</f>
        <v/>
      </c>
      <c r="V523" s="18">
        <f>IF(O523&lt;&gt;"",V522+O523,V522)</f>
        <v/>
      </c>
    </row>
    <row r="524">
      <c r="A524" s="8" t="n"/>
      <c r="B524" s="9" t="n"/>
      <c r="C524" s="8" t="n"/>
      <c r="D524" s="8" t="n"/>
      <c r="E524" s="8" t="n"/>
      <c r="F524" s="10" t="n"/>
      <c r="G524" s="10" t="n"/>
      <c r="H524" s="10" t="n"/>
      <c r="I524" s="11" t="n"/>
      <c r="J524" s="10">
        <f>IFERROR(IF(AND(F524&lt;&gt;"",G524&lt;&gt;"",I524&lt;&gt;""),ABS(F524-G524)*I524,""),"")</f>
        <v/>
      </c>
      <c r="K524" s="12">
        <f>IFERROR(IF(AND(F524&lt;&gt;"",G524&lt;&gt;"",H524&lt;&gt;""),ABS(H524-F524)/ABS(F524-G524),""),"")</f>
        <v/>
      </c>
      <c r="L524" s="9" t="n"/>
      <c r="M524" s="10" t="n"/>
      <c r="N524" s="10" t="n"/>
      <c r="O524" s="13">
        <f>IFERROR(IF(AND(M524&lt;&gt;"",F524&lt;&gt;"",I524&lt;&gt;""),IF(D524="Long",(M524-F524)*I524-IF(N524&lt;&gt;"",N524,0),IF(D524="Short",(F524-M524)*I524-IF(N524&lt;&gt;"",N524,0),"")),""),"")</f>
        <v/>
      </c>
      <c r="P524" s="14">
        <f>IFERROR(IF(AND(O524&lt;&gt;"",F524&lt;&gt;"",I524&lt;&gt;""),O524/(F524*I524),""),"")</f>
        <v/>
      </c>
      <c r="Q524" s="15">
        <f>IFERROR(IF(AND(O524&lt;&gt;"",J524&lt;&gt;"",J524&lt;&gt;0),O524/J524,""),"")</f>
        <v/>
      </c>
      <c r="R524" s="16">
        <f>IFERROR(IF(AND(L524&lt;&gt;"",B524&lt;&gt;""),L524-B524,""),"")</f>
        <v/>
      </c>
      <c r="S524" s="8" t="n"/>
      <c r="T524" s="8" t="n"/>
      <c r="U524" s="17">
        <f>IF(O524&lt;&gt;"",523,"")</f>
        <v/>
      </c>
      <c r="V524" s="18">
        <f>IF(O524&lt;&gt;"",V523+O524,V523)</f>
        <v/>
      </c>
    </row>
    <row r="525">
      <c r="A525" s="19" t="n"/>
      <c r="B525" s="20" t="n"/>
      <c r="C525" s="19" t="n"/>
      <c r="D525" s="19" t="n"/>
      <c r="E525" s="19" t="n"/>
      <c r="F525" s="21" t="n"/>
      <c r="G525" s="21" t="n"/>
      <c r="H525" s="21" t="n"/>
      <c r="I525" s="22" t="n"/>
      <c r="J525" s="21">
        <f>IFERROR(IF(AND(F525&lt;&gt;"",G525&lt;&gt;"",I525&lt;&gt;""),ABS(F525-G525)*I525,""),"")</f>
        <v/>
      </c>
      <c r="K525" s="23">
        <f>IFERROR(IF(AND(F525&lt;&gt;"",G525&lt;&gt;"",H525&lt;&gt;""),ABS(H525-F525)/ABS(F525-G525),""),"")</f>
        <v/>
      </c>
      <c r="L525" s="20" t="n"/>
      <c r="M525" s="21" t="n"/>
      <c r="N525" s="21" t="n"/>
      <c r="O525" s="24">
        <f>IFERROR(IF(AND(M525&lt;&gt;"",F525&lt;&gt;"",I525&lt;&gt;""),IF(D525="Long",(M525-F525)*I525-IF(N525&lt;&gt;"",N525,0),IF(D525="Short",(F525-M525)*I525-IF(N525&lt;&gt;"",N525,0),"")),""),"")</f>
        <v/>
      </c>
      <c r="P525" s="25">
        <f>IFERROR(IF(AND(O525&lt;&gt;"",F525&lt;&gt;"",I525&lt;&gt;""),O525/(F525*I525),""),"")</f>
        <v/>
      </c>
      <c r="Q525" s="26">
        <f>IFERROR(IF(AND(O525&lt;&gt;"",J525&lt;&gt;"",J525&lt;&gt;0),O525/J525,""),"")</f>
        <v/>
      </c>
      <c r="R525" s="27">
        <f>IFERROR(IF(AND(L525&lt;&gt;"",B525&lt;&gt;""),L525-B525,""),"")</f>
        <v/>
      </c>
      <c r="S525" s="19" t="n"/>
      <c r="T525" s="19" t="n"/>
      <c r="U525" s="17">
        <f>IF(O525&lt;&gt;"",524,"")</f>
        <v/>
      </c>
      <c r="V525" s="18">
        <f>IF(O525&lt;&gt;"",V524+O525,V524)</f>
        <v/>
      </c>
    </row>
    <row r="526">
      <c r="A526" s="8" t="n"/>
      <c r="B526" s="9" t="n"/>
      <c r="C526" s="8" t="n"/>
      <c r="D526" s="8" t="n"/>
      <c r="E526" s="8" t="n"/>
      <c r="F526" s="10" t="n"/>
      <c r="G526" s="10" t="n"/>
      <c r="H526" s="10" t="n"/>
      <c r="I526" s="11" t="n"/>
      <c r="J526" s="10">
        <f>IFERROR(IF(AND(F526&lt;&gt;"",G526&lt;&gt;"",I526&lt;&gt;""),ABS(F526-G526)*I526,""),"")</f>
        <v/>
      </c>
      <c r="K526" s="12">
        <f>IFERROR(IF(AND(F526&lt;&gt;"",G526&lt;&gt;"",H526&lt;&gt;""),ABS(H526-F526)/ABS(F526-G526),""),"")</f>
        <v/>
      </c>
      <c r="L526" s="9" t="n"/>
      <c r="M526" s="10" t="n"/>
      <c r="N526" s="10" t="n"/>
      <c r="O526" s="13">
        <f>IFERROR(IF(AND(M526&lt;&gt;"",F526&lt;&gt;"",I526&lt;&gt;""),IF(D526="Long",(M526-F526)*I526-IF(N526&lt;&gt;"",N526,0),IF(D526="Short",(F526-M526)*I526-IF(N526&lt;&gt;"",N526,0),"")),""),"")</f>
        <v/>
      </c>
      <c r="P526" s="14">
        <f>IFERROR(IF(AND(O526&lt;&gt;"",F526&lt;&gt;"",I526&lt;&gt;""),O526/(F526*I526),""),"")</f>
        <v/>
      </c>
      <c r="Q526" s="15">
        <f>IFERROR(IF(AND(O526&lt;&gt;"",J526&lt;&gt;"",J526&lt;&gt;0),O526/J526,""),"")</f>
        <v/>
      </c>
      <c r="R526" s="16">
        <f>IFERROR(IF(AND(L526&lt;&gt;"",B526&lt;&gt;""),L526-B526,""),"")</f>
        <v/>
      </c>
      <c r="S526" s="8" t="n"/>
      <c r="T526" s="8" t="n"/>
      <c r="U526" s="17">
        <f>IF(O526&lt;&gt;"",525,"")</f>
        <v/>
      </c>
      <c r="V526" s="18">
        <f>IF(O526&lt;&gt;"",V525+O526,V525)</f>
        <v/>
      </c>
    </row>
    <row r="527">
      <c r="A527" s="19" t="n"/>
      <c r="B527" s="20" t="n"/>
      <c r="C527" s="19" t="n"/>
      <c r="D527" s="19" t="n"/>
      <c r="E527" s="19" t="n"/>
      <c r="F527" s="21" t="n"/>
      <c r="G527" s="21" t="n"/>
      <c r="H527" s="21" t="n"/>
      <c r="I527" s="22" t="n"/>
      <c r="J527" s="21">
        <f>IFERROR(IF(AND(F527&lt;&gt;"",G527&lt;&gt;"",I527&lt;&gt;""),ABS(F527-G527)*I527,""),"")</f>
        <v/>
      </c>
      <c r="K527" s="23">
        <f>IFERROR(IF(AND(F527&lt;&gt;"",G527&lt;&gt;"",H527&lt;&gt;""),ABS(H527-F527)/ABS(F527-G527),""),"")</f>
        <v/>
      </c>
      <c r="L527" s="20" t="n"/>
      <c r="M527" s="21" t="n"/>
      <c r="N527" s="21" t="n"/>
      <c r="O527" s="24">
        <f>IFERROR(IF(AND(M527&lt;&gt;"",F527&lt;&gt;"",I527&lt;&gt;""),IF(D527="Long",(M527-F527)*I527-IF(N527&lt;&gt;"",N527,0),IF(D527="Short",(F527-M527)*I527-IF(N527&lt;&gt;"",N527,0),"")),""),"")</f>
        <v/>
      </c>
      <c r="P527" s="25">
        <f>IFERROR(IF(AND(O527&lt;&gt;"",F527&lt;&gt;"",I527&lt;&gt;""),O527/(F527*I527),""),"")</f>
        <v/>
      </c>
      <c r="Q527" s="26">
        <f>IFERROR(IF(AND(O527&lt;&gt;"",J527&lt;&gt;"",J527&lt;&gt;0),O527/J527,""),"")</f>
        <v/>
      </c>
      <c r="R527" s="27">
        <f>IFERROR(IF(AND(L527&lt;&gt;"",B527&lt;&gt;""),L527-B527,""),"")</f>
        <v/>
      </c>
      <c r="S527" s="19" t="n"/>
      <c r="T527" s="19" t="n"/>
      <c r="U527" s="17">
        <f>IF(O527&lt;&gt;"",526,"")</f>
        <v/>
      </c>
      <c r="V527" s="18">
        <f>IF(O527&lt;&gt;"",V526+O527,V526)</f>
        <v/>
      </c>
    </row>
    <row r="528">
      <c r="A528" s="8" t="n"/>
      <c r="B528" s="9" t="n"/>
      <c r="C528" s="8" t="n"/>
      <c r="D528" s="8" t="n"/>
      <c r="E528" s="8" t="n"/>
      <c r="F528" s="10" t="n"/>
      <c r="G528" s="10" t="n"/>
      <c r="H528" s="10" t="n"/>
      <c r="I528" s="11" t="n"/>
      <c r="J528" s="10">
        <f>IFERROR(IF(AND(F528&lt;&gt;"",G528&lt;&gt;"",I528&lt;&gt;""),ABS(F528-G528)*I528,""),"")</f>
        <v/>
      </c>
      <c r="K528" s="12">
        <f>IFERROR(IF(AND(F528&lt;&gt;"",G528&lt;&gt;"",H528&lt;&gt;""),ABS(H528-F528)/ABS(F528-G528),""),"")</f>
        <v/>
      </c>
      <c r="L528" s="9" t="n"/>
      <c r="M528" s="10" t="n"/>
      <c r="N528" s="10" t="n"/>
      <c r="O528" s="13">
        <f>IFERROR(IF(AND(M528&lt;&gt;"",F528&lt;&gt;"",I528&lt;&gt;""),IF(D528="Long",(M528-F528)*I528-IF(N528&lt;&gt;"",N528,0),IF(D528="Short",(F528-M528)*I528-IF(N528&lt;&gt;"",N528,0),"")),""),"")</f>
        <v/>
      </c>
      <c r="P528" s="14">
        <f>IFERROR(IF(AND(O528&lt;&gt;"",F528&lt;&gt;"",I528&lt;&gt;""),O528/(F528*I528),""),"")</f>
        <v/>
      </c>
      <c r="Q528" s="15">
        <f>IFERROR(IF(AND(O528&lt;&gt;"",J528&lt;&gt;"",J528&lt;&gt;0),O528/J528,""),"")</f>
        <v/>
      </c>
      <c r="R528" s="16">
        <f>IFERROR(IF(AND(L528&lt;&gt;"",B528&lt;&gt;""),L528-B528,""),"")</f>
        <v/>
      </c>
      <c r="S528" s="8" t="n"/>
      <c r="T528" s="8" t="n"/>
      <c r="U528" s="17">
        <f>IF(O528&lt;&gt;"",527,"")</f>
        <v/>
      </c>
      <c r="V528" s="18">
        <f>IF(O528&lt;&gt;"",V527+O528,V527)</f>
        <v/>
      </c>
    </row>
    <row r="529">
      <c r="A529" s="19" t="n"/>
      <c r="B529" s="20" t="n"/>
      <c r="C529" s="19" t="n"/>
      <c r="D529" s="19" t="n"/>
      <c r="E529" s="19" t="n"/>
      <c r="F529" s="21" t="n"/>
      <c r="G529" s="21" t="n"/>
      <c r="H529" s="21" t="n"/>
      <c r="I529" s="22" t="n"/>
      <c r="J529" s="21">
        <f>IFERROR(IF(AND(F529&lt;&gt;"",G529&lt;&gt;"",I529&lt;&gt;""),ABS(F529-G529)*I529,""),"")</f>
        <v/>
      </c>
      <c r="K529" s="23">
        <f>IFERROR(IF(AND(F529&lt;&gt;"",G529&lt;&gt;"",H529&lt;&gt;""),ABS(H529-F529)/ABS(F529-G529),""),"")</f>
        <v/>
      </c>
      <c r="L529" s="20" t="n"/>
      <c r="M529" s="21" t="n"/>
      <c r="N529" s="21" t="n"/>
      <c r="O529" s="24">
        <f>IFERROR(IF(AND(M529&lt;&gt;"",F529&lt;&gt;"",I529&lt;&gt;""),IF(D529="Long",(M529-F529)*I529-IF(N529&lt;&gt;"",N529,0),IF(D529="Short",(F529-M529)*I529-IF(N529&lt;&gt;"",N529,0),"")),""),"")</f>
        <v/>
      </c>
      <c r="P529" s="25">
        <f>IFERROR(IF(AND(O529&lt;&gt;"",F529&lt;&gt;"",I529&lt;&gt;""),O529/(F529*I529),""),"")</f>
        <v/>
      </c>
      <c r="Q529" s="26">
        <f>IFERROR(IF(AND(O529&lt;&gt;"",J529&lt;&gt;"",J529&lt;&gt;0),O529/J529,""),"")</f>
        <v/>
      </c>
      <c r="R529" s="27">
        <f>IFERROR(IF(AND(L529&lt;&gt;"",B529&lt;&gt;""),L529-B529,""),"")</f>
        <v/>
      </c>
      <c r="S529" s="19" t="n"/>
      <c r="T529" s="19" t="n"/>
      <c r="U529" s="17">
        <f>IF(O529&lt;&gt;"",528,"")</f>
        <v/>
      </c>
      <c r="V529" s="18">
        <f>IF(O529&lt;&gt;"",V528+O529,V528)</f>
        <v/>
      </c>
    </row>
    <row r="530">
      <c r="A530" s="8" t="n"/>
      <c r="B530" s="9" t="n"/>
      <c r="C530" s="8" t="n"/>
      <c r="D530" s="8" t="n"/>
      <c r="E530" s="8" t="n"/>
      <c r="F530" s="10" t="n"/>
      <c r="G530" s="10" t="n"/>
      <c r="H530" s="10" t="n"/>
      <c r="I530" s="11" t="n"/>
      <c r="J530" s="10">
        <f>IFERROR(IF(AND(F530&lt;&gt;"",G530&lt;&gt;"",I530&lt;&gt;""),ABS(F530-G530)*I530,""),"")</f>
        <v/>
      </c>
      <c r="K530" s="12">
        <f>IFERROR(IF(AND(F530&lt;&gt;"",G530&lt;&gt;"",H530&lt;&gt;""),ABS(H530-F530)/ABS(F530-G530),""),"")</f>
        <v/>
      </c>
      <c r="L530" s="9" t="n"/>
      <c r="M530" s="10" t="n"/>
      <c r="N530" s="10" t="n"/>
      <c r="O530" s="13">
        <f>IFERROR(IF(AND(M530&lt;&gt;"",F530&lt;&gt;"",I530&lt;&gt;""),IF(D530="Long",(M530-F530)*I530-IF(N530&lt;&gt;"",N530,0),IF(D530="Short",(F530-M530)*I530-IF(N530&lt;&gt;"",N530,0),"")),""),"")</f>
        <v/>
      </c>
      <c r="P530" s="14">
        <f>IFERROR(IF(AND(O530&lt;&gt;"",F530&lt;&gt;"",I530&lt;&gt;""),O530/(F530*I530),""),"")</f>
        <v/>
      </c>
      <c r="Q530" s="15">
        <f>IFERROR(IF(AND(O530&lt;&gt;"",J530&lt;&gt;"",J530&lt;&gt;0),O530/J530,""),"")</f>
        <v/>
      </c>
      <c r="R530" s="16">
        <f>IFERROR(IF(AND(L530&lt;&gt;"",B530&lt;&gt;""),L530-B530,""),"")</f>
        <v/>
      </c>
      <c r="S530" s="8" t="n"/>
      <c r="T530" s="8" t="n"/>
      <c r="U530" s="17">
        <f>IF(O530&lt;&gt;"",529,"")</f>
        <v/>
      </c>
      <c r="V530" s="18">
        <f>IF(O530&lt;&gt;"",V529+O530,V529)</f>
        <v/>
      </c>
    </row>
    <row r="531">
      <c r="A531" s="19" t="n"/>
      <c r="B531" s="20" t="n"/>
      <c r="C531" s="19" t="n"/>
      <c r="D531" s="19" t="n"/>
      <c r="E531" s="19" t="n"/>
      <c r="F531" s="21" t="n"/>
      <c r="G531" s="21" t="n"/>
      <c r="H531" s="21" t="n"/>
      <c r="I531" s="22" t="n"/>
      <c r="J531" s="21">
        <f>IFERROR(IF(AND(F531&lt;&gt;"",G531&lt;&gt;"",I531&lt;&gt;""),ABS(F531-G531)*I531,""),"")</f>
        <v/>
      </c>
      <c r="K531" s="23">
        <f>IFERROR(IF(AND(F531&lt;&gt;"",G531&lt;&gt;"",H531&lt;&gt;""),ABS(H531-F531)/ABS(F531-G531),""),"")</f>
        <v/>
      </c>
      <c r="L531" s="20" t="n"/>
      <c r="M531" s="21" t="n"/>
      <c r="N531" s="21" t="n"/>
      <c r="O531" s="24">
        <f>IFERROR(IF(AND(M531&lt;&gt;"",F531&lt;&gt;"",I531&lt;&gt;""),IF(D531="Long",(M531-F531)*I531-IF(N531&lt;&gt;"",N531,0),IF(D531="Short",(F531-M531)*I531-IF(N531&lt;&gt;"",N531,0),"")),""),"")</f>
        <v/>
      </c>
      <c r="P531" s="25">
        <f>IFERROR(IF(AND(O531&lt;&gt;"",F531&lt;&gt;"",I531&lt;&gt;""),O531/(F531*I531),""),"")</f>
        <v/>
      </c>
      <c r="Q531" s="26">
        <f>IFERROR(IF(AND(O531&lt;&gt;"",J531&lt;&gt;"",J531&lt;&gt;0),O531/J531,""),"")</f>
        <v/>
      </c>
      <c r="R531" s="27">
        <f>IFERROR(IF(AND(L531&lt;&gt;"",B531&lt;&gt;""),L531-B531,""),"")</f>
        <v/>
      </c>
      <c r="S531" s="19" t="n"/>
      <c r="T531" s="19" t="n"/>
      <c r="U531" s="17">
        <f>IF(O531&lt;&gt;"",530,"")</f>
        <v/>
      </c>
      <c r="V531" s="18">
        <f>IF(O531&lt;&gt;"",V530+O531,V530)</f>
        <v/>
      </c>
    </row>
    <row r="532">
      <c r="A532" s="8" t="n"/>
      <c r="B532" s="9" t="n"/>
      <c r="C532" s="8" t="n"/>
      <c r="D532" s="8" t="n"/>
      <c r="E532" s="8" t="n"/>
      <c r="F532" s="10" t="n"/>
      <c r="G532" s="10" t="n"/>
      <c r="H532" s="10" t="n"/>
      <c r="I532" s="11" t="n"/>
      <c r="J532" s="10">
        <f>IFERROR(IF(AND(F532&lt;&gt;"",G532&lt;&gt;"",I532&lt;&gt;""),ABS(F532-G532)*I532,""),"")</f>
        <v/>
      </c>
      <c r="K532" s="12">
        <f>IFERROR(IF(AND(F532&lt;&gt;"",G532&lt;&gt;"",H532&lt;&gt;""),ABS(H532-F532)/ABS(F532-G532),""),"")</f>
        <v/>
      </c>
      <c r="L532" s="9" t="n"/>
      <c r="M532" s="10" t="n"/>
      <c r="N532" s="10" t="n"/>
      <c r="O532" s="13">
        <f>IFERROR(IF(AND(M532&lt;&gt;"",F532&lt;&gt;"",I532&lt;&gt;""),IF(D532="Long",(M532-F532)*I532-IF(N532&lt;&gt;"",N532,0),IF(D532="Short",(F532-M532)*I532-IF(N532&lt;&gt;"",N532,0),"")),""),"")</f>
        <v/>
      </c>
      <c r="P532" s="14">
        <f>IFERROR(IF(AND(O532&lt;&gt;"",F532&lt;&gt;"",I532&lt;&gt;""),O532/(F532*I532),""),"")</f>
        <v/>
      </c>
      <c r="Q532" s="15">
        <f>IFERROR(IF(AND(O532&lt;&gt;"",J532&lt;&gt;"",J532&lt;&gt;0),O532/J532,""),"")</f>
        <v/>
      </c>
      <c r="R532" s="16">
        <f>IFERROR(IF(AND(L532&lt;&gt;"",B532&lt;&gt;""),L532-B532,""),"")</f>
        <v/>
      </c>
      <c r="S532" s="8" t="n"/>
      <c r="T532" s="8" t="n"/>
      <c r="U532" s="17">
        <f>IF(O532&lt;&gt;"",531,"")</f>
        <v/>
      </c>
      <c r="V532" s="18">
        <f>IF(O532&lt;&gt;"",V531+O532,V531)</f>
        <v/>
      </c>
    </row>
    <row r="533">
      <c r="A533" s="19" t="n"/>
      <c r="B533" s="20" t="n"/>
      <c r="C533" s="19" t="n"/>
      <c r="D533" s="19" t="n"/>
      <c r="E533" s="19" t="n"/>
      <c r="F533" s="21" t="n"/>
      <c r="G533" s="21" t="n"/>
      <c r="H533" s="21" t="n"/>
      <c r="I533" s="22" t="n"/>
      <c r="J533" s="21">
        <f>IFERROR(IF(AND(F533&lt;&gt;"",G533&lt;&gt;"",I533&lt;&gt;""),ABS(F533-G533)*I533,""),"")</f>
        <v/>
      </c>
      <c r="K533" s="23">
        <f>IFERROR(IF(AND(F533&lt;&gt;"",G533&lt;&gt;"",H533&lt;&gt;""),ABS(H533-F533)/ABS(F533-G533),""),"")</f>
        <v/>
      </c>
      <c r="L533" s="20" t="n"/>
      <c r="M533" s="21" t="n"/>
      <c r="N533" s="21" t="n"/>
      <c r="O533" s="24">
        <f>IFERROR(IF(AND(M533&lt;&gt;"",F533&lt;&gt;"",I533&lt;&gt;""),IF(D533="Long",(M533-F533)*I533-IF(N533&lt;&gt;"",N533,0),IF(D533="Short",(F533-M533)*I533-IF(N533&lt;&gt;"",N533,0),"")),""),"")</f>
        <v/>
      </c>
      <c r="P533" s="25">
        <f>IFERROR(IF(AND(O533&lt;&gt;"",F533&lt;&gt;"",I533&lt;&gt;""),O533/(F533*I533),""),"")</f>
        <v/>
      </c>
      <c r="Q533" s="26">
        <f>IFERROR(IF(AND(O533&lt;&gt;"",J533&lt;&gt;"",J533&lt;&gt;0),O533/J533,""),"")</f>
        <v/>
      </c>
      <c r="R533" s="27">
        <f>IFERROR(IF(AND(L533&lt;&gt;"",B533&lt;&gt;""),L533-B533,""),"")</f>
        <v/>
      </c>
      <c r="S533" s="19" t="n"/>
      <c r="T533" s="19" t="n"/>
      <c r="U533" s="17">
        <f>IF(O533&lt;&gt;"",532,"")</f>
        <v/>
      </c>
      <c r="V533" s="18">
        <f>IF(O533&lt;&gt;"",V532+O533,V532)</f>
        <v/>
      </c>
    </row>
    <row r="534">
      <c r="A534" s="8" t="n"/>
      <c r="B534" s="9" t="n"/>
      <c r="C534" s="8" t="n"/>
      <c r="D534" s="8" t="n"/>
      <c r="E534" s="8" t="n"/>
      <c r="F534" s="10" t="n"/>
      <c r="G534" s="10" t="n"/>
      <c r="H534" s="10" t="n"/>
      <c r="I534" s="11" t="n"/>
      <c r="J534" s="10">
        <f>IFERROR(IF(AND(F534&lt;&gt;"",G534&lt;&gt;"",I534&lt;&gt;""),ABS(F534-G534)*I534,""),"")</f>
        <v/>
      </c>
      <c r="K534" s="12">
        <f>IFERROR(IF(AND(F534&lt;&gt;"",G534&lt;&gt;"",H534&lt;&gt;""),ABS(H534-F534)/ABS(F534-G534),""),"")</f>
        <v/>
      </c>
      <c r="L534" s="9" t="n"/>
      <c r="M534" s="10" t="n"/>
      <c r="N534" s="10" t="n"/>
      <c r="O534" s="13">
        <f>IFERROR(IF(AND(M534&lt;&gt;"",F534&lt;&gt;"",I534&lt;&gt;""),IF(D534="Long",(M534-F534)*I534-IF(N534&lt;&gt;"",N534,0),IF(D534="Short",(F534-M534)*I534-IF(N534&lt;&gt;"",N534,0),"")),""),"")</f>
        <v/>
      </c>
      <c r="P534" s="14">
        <f>IFERROR(IF(AND(O534&lt;&gt;"",F534&lt;&gt;"",I534&lt;&gt;""),O534/(F534*I534),""),"")</f>
        <v/>
      </c>
      <c r="Q534" s="15">
        <f>IFERROR(IF(AND(O534&lt;&gt;"",J534&lt;&gt;"",J534&lt;&gt;0),O534/J534,""),"")</f>
        <v/>
      </c>
      <c r="R534" s="16">
        <f>IFERROR(IF(AND(L534&lt;&gt;"",B534&lt;&gt;""),L534-B534,""),"")</f>
        <v/>
      </c>
      <c r="S534" s="8" t="n"/>
      <c r="T534" s="8" t="n"/>
      <c r="U534" s="17">
        <f>IF(O534&lt;&gt;"",533,"")</f>
        <v/>
      </c>
      <c r="V534" s="18">
        <f>IF(O534&lt;&gt;"",V533+O534,V533)</f>
        <v/>
      </c>
    </row>
    <row r="535">
      <c r="A535" s="19" t="n"/>
      <c r="B535" s="20" t="n"/>
      <c r="C535" s="19" t="n"/>
      <c r="D535" s="19" t="n"/>
      <c r="E535" s="19" t="n"/>
      <c r="F535" s="21" t="n"/>
      <c r="G535" s="21" t="n"/>
      <c r="H535" s="21" t="n"/>
      <c r="I535" s="22" t="n"/>
      <c r="J535" s="21">
        <f>IFERROR(IF(AND(F535&lt;&gt;"",G535&lt;&gt;"",I535&lt;&gt;""),ABS(F535-G535)*I535,""),"")</f>
        <v/>
      </c>
      <c r="K535" s="23">
        <f>IFERROR(IF(AND(F535&lt;&gt;"",G535&lt;&gt;"",H535&lt;&gt;""),ABS(H535-F535)/ABS(F535-G535),""),"")</f>
        <v/>
      </c>
      <c r="L535" s="20" t="n"/>
      <c r="M535" s="21" t="n"/>
      <c r="N535" s="21" t="n"/>
      <c r="O535" s="24">
        <f>IFERROR(IF(AND(M535&lt;&gt;"",F535&lt;&gt;"",I535&lt;&gt;""),IF(D535="Long",(M535-F535)*I535-IF(N535&lt;&gt;"",N535,0),IF(D535="Short",(F535-M535)*I535-IF(N535&lt;&gt;"",N535,0),"")),""),"")</f>
        <v/>
      </c>
      <c r="P535" s="25">
        <f>IFERROR(IF(AND(O535&lt;&gt;"",F535&lt;&gt;"",I535&lt;&gt;""),O535/(F535*I535),""),"")</f>
        <v/>
      </c>
      <c r="Q535" s="26">
        <f>IFERROR(IF(AND(O535&lt;&gt;"",J535&lt;&gt;"",J535&lt;&gt;0),O535/J535,""),"")</f>
        <v/>
      </c>
      <c r="R535" s="27">
        <f>IFERROR(IF(AND(L535&lt;&gt;"",B535&lt;&gt;""),L535-B535,""),"")</f>
        <v/>
      </c>
      <c r="S535" s="19" t="n"/>
      <c r="T535" s="19" t="n"/>
      <c r="U535" s="17">
        <f>IF(O535&lt;&gt;"",534,"")</f>
        <v/>
      </c>
      <c r="V535" s="18">
        <f>IF(O535&lt;&gt;"",V534+O535,V534)</f>
        <v/>
      </c>
    </row>
    <row r="536">
      <c r="A536" s="8" t="n"/>
      <c r="B536" s="9" t="n"/>
      <c r="C536" s="8" t="n"/>
      <c r="D536" s="8" t="n"/>
      <c r="E536" s="8" t="n"/>
      <c r="F536" s="10" t="n"/>
      <c r="G536" s="10" t="n"/>
      <c r="H536" s="10" t="n"/>
      <c r="I536" s="11" t="n"/>
      <c r="J536" s="10">
        <f>IFERROR(IF(AND(F536&lt;&gt;"",G536&lt;&gt;"",I536&lt;&gt;""),ABS(F536-G536)*I536,""),"")</f>
        <v/>
      </c>
      <c r="K536" s="12">
        <f>IFERROR(IF(AND(F536&lt;&gt;"",G536&lt;&gt;"",H536&lt;&gt;""),ABS(H536-F536)/ABS(F536-G536),""),"")</f>
        <v/>
      </c>
      <c r="L536" s="9" t="n"/>
      <c r="M536" s="10" t="n"/>
      <c r="N536" s="10" t="n"/>
      <c r="O536" s="13">
        <f>IFERROR(IF(AND(M536&lt;&gt;"",F536&lt;&gt;"",I536&lt;&gt;""),IF(D536="Long",(M536-F536)*I536-IF(N536&lt;&gt;"",N536,0),IF(D536="Short",(F536-M536)*I536-IF(N536&lt;&gt;"",N536,0),"")),""),"")</f>
        <v/>
      </c>
      <c r="P536" s="14">
        <f>IFERROR(IF(AND(O536&lt;&gt;"",F536&lt;&gt;"",I536&lt;&gt;""),O536/(F536*I536),""),"")</f>
        <v/>
      </c>
      <c r="Q536" s="15">
        <f>IFERROR(IF(AND(O536&lt;&gt;"",J536&lt;&gt;"",J536&lt;&gt;0),O536/J536,""),"")</f>
        <v/>
      </c>
      <c r="R536" s="16">
        <f>IFERROR(IF(AND(L536&lt;&gt;"",B536&lt;&gt;""),L536-B536,""),"")</f>
        <v/>
      </c>
      <c r="S536" s="8" t="n"/>
      <c r="T536" s="8" t="n"/>
      <c r="U536" s="17">
        <f>IF(O536&lt;&gt;"",535,"")</f>
        <v/>
      </c>
      <c r="V536" s="18">
        <f>IF(O536&lt;&gt;"",V535+O536,V535)</f>
        <v/>
      </c>
    </row>
    <row r="537">
      <c r="A537" s="19" t="n"/>
      <c r="B537" s="20" t="n"/>
      <c r="C537" s="19" t="n"/>
      <c r="D537" s="19" t="n"/>
      <c r="E537" s="19" t="n"/>
      <c r="F537" s="21" t="n"/>
      <c r="G537" s="21" t="n"/>
      <c r="H537" s="21" t="n"/>
      <c r="I537" s="22" t="n"/>
      <c r="J537" s="21">
        <f>IFERROR(IF(AND(F537&lt;&gt;"",G537&lt;&gt;"",I537&lt;&gt;""),ABS(F537-G537)*I537,""),"")</f>
        <v/>
      </c>
      <c r="K537" s="23">
        <f>IFERROR(IF(AND(F537&lt;&gt;"",G537&lt;&gt;"",H537&lt;&gt;""),ABS(H537-F537)/ABS(F537-G537),""),"")</f>
        <v/>
      </c>
      <c r="L537" s="20" t="n"/>
      <c r="M537" s="21" t="n"/>
      <c r="N537" s="21" t="n"/>
      <c r="O537" s="24">
        <f>IFERROR(IF(AND(M537&lt;&gt;"",F537&lt;&gt;"",I537&lt;&gt;""),IF(D537="Long",(M537-F537)*I537-IF(N537&lt;&gt;"",N537,0),IF(D537="Short",(F537-M537)*I537-IF(N537&lt;&gt;"",N537,0),"")),""),"")</f>
        <v/>
      </c>
      <c r="P537" s="25">
        <f>IFERROR(IF(AND(O537&lt;&gt;"",F537&lt;&gt;"",I537&lt;&gt;""),O537/(F537*I537),""),"")</f>
        <v/>
      </c>
      <c r="Q537" s="26">
        <f>IFERROR(IF(AND(O537&lt;&gt;"",J537&lt;&gt;"",J537&lt;&gt;0),O537/J537,""),"")</f>
        <v/>
      </c>
      <c r="R537" s="27">
        <f>IFERROR(IF(AND(L537&lt;&gt;"",B537&lt;&gt;""),L537-B537,""),"")</f>
        <v/>
      </c>
      <c r="S537" s="19" t="n"/>
      <c r="T537" s="19" t="n"/>
      <c r="U537" s="17">
        <f>IF(O537&lt;&gt;"",536,"")</f>
        <v/>
      </c>
      <c r="V537" s="18">
        <f>IF(O537&lt;&gt;"",V536+O537,V536)</f>
        <v/>
      </c>
    </row>
    <row r="538">
      <c r="A538" s="8" t="n"/>
      <c r="B538" s="9" t="n"/>
      <c r="C538" s="8" t="n"/>
      <c r="D538" s="8" t="n"/>
      <c r="E538" s="8" t="n"/>
      <c r="F538" s="10" t="n"/>
      <c r="G538" s="10" t="n"/>
      <c r="H538" s="10" t="n"/>
      <c r="I538" s="11" t="n"/>
      <c r="J538" s="10">
        <f>IFERROR(IF(AND(F538&lt;&gt;"",G538&lt;&gt;"",I538&lt;&gt;""),ABS(F538-G538)*I538,""),"")</f>
        <v/>
      </c>
      <c r="K538" s="12">
        <f>IFERROR(IF(AND(F538&lt;&gt;"",G538&lt;&gt;"",H538&lt;&gt;""),ABS(H538-F538)/ABS(F538-G538),""),"")</f>
        <v/>
      </c>
      <c r="L538" s="9" t="n"/>
      <c r="M538" s="10" t="n"/>
      <c r="N538" s="10" t="n"/>
      <c r="O538" s="13">
        <f>IFERROR(IF(AND(M538&lt;&gt;"",F538&lt;&gt;"",I538&lt;&gt;""),IF(D538="Long",(M538-F538)*I538-IF(N538&lt;&gt;"",N538,0),IF(D538="Short",(F538-M538)*I538-IF(N538&lt;&gt;"",N538,0),"")),""),"")</f>
        <v/>
      </c>
      <c r="P538" s="14">
        <f>IFERROR(IF(AND(O538&lt;&gt;"",F538&lt;&gt;"",I538&lt;&gt;""),O538/(F538*I538),""),"")</f>
        <v/>
      </c>
      <c r="Q538" s="15">
        <f>IFERROR(IF(AND(O538&lt;&gt;"",J538&lt;&gt;"",J538&lt;&gt;0),O538/J538,""),"")</f>
        <v/>
      </c>
      <c r="R538" s="16">
        <f>IFERROR(IF(AND(L538&lt;&gt;"",B538&lt;&gt;""),L538-B538,""),"")</f>
        <v/>
      </c>
      <c r="S538" s="8" t="n"/>
      <c r="T538" s="8" t="n"/>
      <c r="U538" s="17">
        <f>IF(O538&lt;&gt;"",537,"")</f>
        <v/>
      </c>
      <c r="V538" s="18">
        <f>IF(O538&lt;&gt;"",V537+O538,V537)</f>
        <v/>
      </c>
    </row>
    <row r="539">
      <c r="A539" s="19" t="n"/>
      <c r="B539" s="20" t="n"/>
      <c r="C539" s="19" t="n"/>
      <c r="D539" s="19" t="n"/>
      <c r="E539" s="19" t="n"/>
      <c r="F539" s="21" t="n"/>
      <c r="G539" s="21" t="n"/>
      <c r="H539" s="21" t="n"/>
      <c r="I539" s="22" t="n"/>
      <c r="J539" s="21">
        <f>IFERROR(IF(AND(F539&lt;&gt;"",G539&lt;&gt;"",I539&lt;&gt;""),ABS(F539-G539)*I539,""),"")</f>
        <v/>
      </c>
      <c r="K539" s="23">
        <f>IFERROR(IF(AND(F539&lt;&gt;"",G539&lt;&gt;"",H539&lt;&gt;""),ABS(H539-F539)/ABS(F539-G539),""),"")</f>
        <v/>
      </c>
      <c r="L539" s="20" t="n"/>
      <c r="M539" s="21" t="n"/>
      <c r="N539" s="21" t="n"/>
      <c r="O539" s="24">
        <f>IFERROR(IF(AND(M539&lt;&gt;"",F539&lt;&gt;"",I539&lt;&gt;""),IF(D539="Long",(M539-F539)*I539-IF(N539&lt;&gt;"",N539,0),IF(D539="Short",(F539-M539)*I539-IF(N539&lt;&gt;"",N539,0),"")),""),"")</f>
        <v/>
      </c>
      <c r="P539" s="25">
        <f>IFERROR(IF(AND(O539&lt;&gt;"",F539&lt;&gt;"",I539&lt;&gt;""),O539/(F539*I539),""),"")</f>
        <v/>
      </c>
      <c r="Q539" s="26">
        <f>IFERROR(IF(AND(O539&lt;&gt;"",J539&lt;&gt;"",J539&lt;&gt;0),O539/J539,""),"")</f>
        <v/>
      </c>
      <c r="R539" s="27">
        <f>IFERROR(IF(AND(L539&lt;&gt;"",B539&lt;&gt;""),L539-B539,""),"")</f>
        <v/>
      </c>
      <c r="S539" s="19" t="n"/>
      <c r="T539" s="19" t="n"/>
      <c r="U539" s="17">
        <f>IF(O539&lt;&gt;"",538,"")</f>
        <v/>
      </c>
      <c r="V539" s="18">
        <f>IF(O539&lt;&gt;"",V538+O539,V538)</f>
        <v/>
      </c>
    </row>
    <row r="540">
      <c r="A540" s="8" t="n"/>
      <c r="B540" s="9" t="n"/>
      <c r="C540" s="8" t="n"/>
      <c r="D540" s="8" t="n"/>
      <c r="E540" s="8" t="n"/>
      <c r="F540" s="10" t="n"/>
      <c r="G540" s="10" t="n"/>
      <c r="H540" s="10" t="n"/>
      <c r="I540" s="11" t="n"/>
      <c r="J540" s="10">
        <f>IFERROR(IF(AND(F540&lt;&gt;"",G540&lt;&gt;"",I540&lt;&gt;""),ABS(F540-G540)*I540,""),"")</f>
        <v/>
      </c>
      <c r="K540" s="12">
        <f>IFERROR(IF(AND(F540&lt;&gt;"",G540&lt;&gt;"",H540&lt;&gt;""),ABS(H540-F540)/ABS(F540-G540),""),"")</f>
        <v/>
      </c>
      <c r="L540" s="9" t="n"/>
      <c r="M540" s="10" t="n"/>
      <c r="N540" s="10" t="n"/>
      <c r="O540" s="13">
        <f>IFERROR(IF(AND(M540&lt;&gt;"",F540&lt;&gt;"",I540&lt;&gt;""),IF(D540="Long",(M540-F540)*I540-IF(N540&lt;&gt;"",N540,0),IF(D540="Short",(F540-M540)*I540-IF(N540&lt;&gt;"",N540,0),"")),""),"")</f>
        <v/>
      </c>
      <c r="P540" s="14">
        <f>IFERROR(IF(AND(O540&lt;&gt;"",F540&lt;&gt;"",I540&lt;&gt;""),O540/(F540*I540),""),"")</f>
        <v/>
      </c>
      <c r="Q540" s="15">
        <f>IFERROR(IF(AND(O540&lt;&gt;"",J540&lt;&gt;"",J540&lt;&gt;0),O540/J540,""),"")</f>
        <v/>
      </c>
      <c r="R540" s="16">
        <f>IFERROR(IF(AND(L540&lt;&gt;"",B540&lt;&gt;""),L540-B540,""),"")</f>
        <v/>
      </c>
      <c r="S540" s="8" t="n"/>
      <c r="T540" s="8" t="n"/>
      <c r="U540" s="17">
        <f>IF(O540&lt;&gt;"",539,"")</f>
        <v/>
      </c>
      <c r="V540" s="18">
        <f>IF(O540&lt;&gt;"",V539+O540,V539)</f>
        <v/>
      </c>
    </row>
    <row r="541">
      <c r="A541" s="19" t="n"/>
      <c r="B541" s="20" t="n"/>
      <c r="C541" s="19" t="n"/>
      <c r="D541" s="19" t="n"/>
      <c r="E541" s="19" t="n"/>
      <c r="F541" s="21" t="n"/>
      <c r="G541" s="21" t="n"/>
      <c r="H541" s="21" t="n"/>
      <c r="I541" s="22" t="n"/>
      <c r="J541" s="21">
        <f>IFERROR(IF(AND(F541&lt;&gt;"",G541&lt;&gt;"",I541&lt;&gt;""),ABS(F541-G541)*I541,""),"")</f>
        <v/>
      </c>
      <c r="K541" s="23">
        <f>IFERROR(IF(AND(F541&lt;&gt;"",G541&lt;&gt;"",H541&lt;&gt;""),ABS(H541-F541)/ABS(F541-G541),""),"")</f>
        <v/>
      </c>
      <c r="L541" s="20" t="n"/>
      <c r="M541" s="21" t="n"/>
      <c r="N541" s="21" t="n"/>
      <c r="O541" s="24">
        <f>IFERROR(IF(AND(M541&lt;&gt;"",F541&lt;&gt;"",I541&lt;&gt;""),IF(D541="Long",(M541-F541)*I541-IF(N541&lt;&gt;"",N541,0),IF(D541="Short",(F541-M541)*I541-IF(N541&lt;&gt;"",N541,0),"")),""),"")</f>
        <v/>
      </c>
      <c r="P541" s="25">
        <f>IFERROR(IF(AND(O541&lt;&gt;"",F541&lt;&gt;"",I541&lt;&gt;""),O541/(F541*I541),""),"")</f>
        <v/>
      </c>
      <c r="Q541" s="26">
        <f>IFERROR(IF(AND(O541&lt;&gt;"",J541&lt;&gt;"",J541&lt;&gt;0),O541/J541,""),"")</f>
        <v/>
      </c>
      <c r="R541" s="27">
        <f>IFERROR(IF(AND(L541&lt;&gt;"",B541&lt;&gt;""),L541-B541,""),"")</f>
        <v/>
      </c>
      <c r="S541" s="19" t="n"/>
      <c r="T541" s="19" t="n"/>
      <c r="U541" s="17">
        <f>IF(O541&lt;&gt;"",540,"")</f>
        <v/>
      </c>
      <c r="V541" s="18">
        <f>IF(O541&lt;&gt;"",V540+O541,V540)</f>
        <v/>
      </c>
    </row>
    <row r="542">
      <c r="A542" s="8" t="n"/>
      <c r="B542" s="9" t="n"/>
      <c r="C542" s="8" t="n"/>
      <c r="D542" s="8" t="n"/>
      <c r="E542" s="8" t="n"/>
      <c r="F542" s="10" t="n"/>
      <c r="G542" s="10" t="n"/>
      <c r="H542" s="10" t="n"/>
      <c r="I542" s="11" t="n"/>
      <c r="J542" s="10">
        <f>IFERROR(IF(AND(F542&lt;&gt;"",G542&lt;&gt;"",I542&lt;&gt;""),ABS(F542-G542)*I542,""),"")</f>
        <v/>
      </c>
      <c r="K542" s="12">
        <f>IFERROR(IF(AND(F542&lt;&gt;"",G542&lt;&gt;"",H542&lt;&gt;""),ABS(H542-F542)/ABS(F542-G542),""),"")</f>
        <v/>
      </c>
      <c r="L542" s="9" t="n"/>
      <c r="M542" s="10" t="n"/>
      <c r="N542" s="10" t="n"/>
      <c r="O542" s="13">
        <f>IFERROR(IF(AND(M542&lt;&gt;"",F542&lt;&gt;"",I542&lt;&gt;""),IF(D542="Long",(M542-F542)*I542-IF(N542&lt;&gt;"",N542,0),IF(D542="Short",(F542-M542)*I542-IF(N542&lt;&gt;"",N542,0),"")),""),"")</f>
        <v/>
      </c>
      <c r="P542" s="14">
        <f>IFERROR(IF(AND(O542&lt;&gt;"",F542&lt;&gt;"",I542&lt;&gt;""),O542/(F542*I542),""),"")</f>
        <v/>
      </c>
      <c r="Q542" s="15">
        <f>IFERROR(IF(AND(O542&lt;&gt;"",J542&lt;&gt;"",J542&lt;&gt;0),O542/J542,""),"")</f>
        <v/>
      </c>
      <c r="R542" s="16">
        <f>IFERROR(IF(AND(L542&lt;&gt;"",B542&lt;&gt;""),L542-B542,""),"")</f>
        <v/>
      </c>
      <c r="S542" s="8" t="n"/>
      <c r="T542" s="8" t="n"/>
      <c r="U542" s="17">
        <f>IF(O542&lt;&gt;"",541,"")</f>
        <v/>
      </c>
      <c r="V542" s="18">
        <f>IF(O542&lt;&gt;"",V541+O542,V541)</f>
        <v/>
      </c>
    </row>
    <row r="543">
      <c r="A543" s="19" t="n"/>
      <c r="B543" s="20" t="n"/>
      <c r="C543" s="19" t="n"/>
      <c r="D543" s="19" t="n"/>
      <c r="E543" s="19" t="n"/>
      <c r="F543" s="21" t="n"/>
      <c r="G543" s="21" t="n"/>
      <c r="H543" s="21" t="n"/>
      <c r="I543" s="22" t="n"/>
      <c r="J543" s="21">
        <f>IFERROR(IF(AND(F543&lt;&gt;"",G543&lt;&gt;"",I543&lt;&gt;""),ABS(F543-G543)*I543,""),"")</f>
        <v/>
      </c>
      <c r="K543" s="23">
        <f>IFERROR(IF(AND(F543&lt;&gt;"",G543&lt;&gt;"",H543&lt;&gt;""),ABS(H543-F543)/ABS(F543-G543),""),"")</f>
        <v/>
      </c>
      <c r="L543" s="20" t="n"/>
      <c r="M543" s="21" t="n"/>
      <c r="N543" s="21" t="n"/>
      <c r="O543" s="24">
        <f>IFERROR(IF(AND(M543&lt;&gt;"",F543&lt;&gt;"",I543&lt;&gt;""),IF(D543="Long",(M543-F543)*I543-IF(N543&lt;&gt;"",N543,0),IF(D543="Short",(F543-M543)*I543-IF(N543&lt;&gt;"",N543,0),"")),""),"")</f>
        <v/>
      </c>
      <c r="P543" s="25">
        <f>IFERROR(IF(AND(O543&lt;&gt;"",F543&lt;&gt;"",I543&lt;&gt;""),O543/(F543*I543),""),"")</f>
        <v/>
      </c>
      <c r="Q543" s="26">
        <f>IFERROR(IF(AND(O543&lt;&gt;"",J543&lt;&gt;"",J543&lt;&gt;0),O543/J543,""),"")</f>
        <v/>
      </c>
      <c r="R543" s="27">
        <f>IFERROR(IF(AND(L543&lt;&gt;"",B543&lt;&gt;""),L543-B543,""),"")</f>
        <v/>
      </c>
      <c r="S543" s="19" t="n"/>
      <c r="T543" s="19" t="n"/>
      <c r="U543" s="17">
        <f>IF(O543&lt;&gt;"",542,"")</f>
        <v/>
      </c>
      <c r="V543" s="18">
        <f>IF(O543&lt;&gt;"",V542+O543,V542)</f>
        <v/>
      </c>
    </row>
    <row r="544">
      <c r="A544" s="8" t="n"/>
      <c r="B544" s="9" t="n"/>
      <c r="C544" s="8" t="n"/>
      <c r="D544" s="8" t="n"/>
      <c r="E544" s="8" t="n"/>
      <c r="F544" s="10" t="n"/>
      <c r="G544" s="10" t="n"/>
      <c r="H544" s="10" t="n"/>
      <c r="I544" s="11" t="n"/>
      <c r="J544" s="10">
        <f>IFERROR(IF(AND(F544&lt;&gt;"",G544&lt;&gt;"",I544&lt;&gt;""),ABS(F544-G544)*I544,""),"")</f>
        <v/>
      </c>
      <c r="K544" s="12">
        <f>IFERROR(IF(AND(F544&lt;&gt;"",G544&lt;&gt;"",H544&lt;&gt;""),ABS(H544-F544)/ABS(F544-G544),""),"")</f>
        <v/>
      </c>
      <c r="L544" s="9" t="n"/>
      <c r="M544" s="10" t="n"/>
      <c r="N544" s="10" t="n"/>
      <c r="O544" s="13">
        <f>IFERROR(IF(AND(M544&lt;&gt;"",F544&lt;&gt;"",I544&lt;&gt;""),IF(D544="Long",(M544-F544)*I544-IF(N544&lt;&gt;"",N544,0),IF(D544="Short",(F544-M544)*I544-IF(N544&lt;&gt;"",N544,0),"")),""),"")</f>
        <v/>
      </c>
      <c r="P544" s="14">
        <f>IFERROR(IF(AND(O544&lt;&gt;"",F544&lt;&gt;"",I544&lt;&gt;""),O544/(F544*I544),""),"")</f>
        <v/>
      </c>
      <c r="Q544" s="15">
        <f>IFERROR(IF(AND(O544&lt;&gt;"",J544&lt;&gt;"",J544&lt;&gt;0),O544/J544,""),"")</f>
        <v/>
      </c>
      <c r="R544" s="16">
        <f>IFERROR(IF(AND(L544&lt;&gt;"",B544&lt;&gt;""),L544-B544,""),"")</f>
        <v/>
      </c>
      <c r="S544" s="8" t="n"/>
      <c r="T544" s="8" t="n"/>
      <c r="U544" s="17">
        <f>IF(O544&lt;&gt;"",543,"")</f>
        <v/>
      </c>
      <c r="V544" s="18">
        <f>IF(O544&lt;&gt;"",V543+O544,V543)</f>
        <v/>
      </c>
    </row>
    <row r="545">
      <c r="A545" s="19" t="n"/>
      <c r="B545" s="20" t="n"/>
      <c r="C545" s="19" t="n"/>
      <c r="D545" s="19" t="n"/>
      <c r="E545" s="19" t="n"/>
      <c r="F545" s="21" t="n"/>
      <c r="G545" s="21" t="n"/>
      <c r="H545" s="21" t="n"/>
      <c r="I545" s="22" t="n"/>
      <c r="J545" s="21">
        <f>IFERROR(IF(AND(F545&lt;&gt;"",G545&lt;&gt;"",I545&lt;&gt;""),ABS(F545-G545)*I545,""),"")</f>
        <v/>
      </c>
      <c r="K545" s="23">
        <f>IFERROR(IF(AND(F545&lt;&gt;"",G545&lt;&gt;"",H545&lt;&gt;""),ABS(H545-F545)/ABS(F545-G545),""),"")</f>
        <v/>
      </c>
      <c r="L545" s="20" t="n"/>
      <c r="M545" s="21" t="n"/>
      <c r="N545" s="21" t="n"/>
      <c r="O545" s="24">
        <f>IFERROR(IF(AND(M545&lt;&gt;"",F545&lt;&gt;"",I545&lt;&gt;""),IF(D545="Long",(M545-F545)*I545-IF(N545&lt;&gt;"",N545,0),IF(D545="Short",(F545-M545)*I545-IF(N545&lt;&gt;"",N545,0),"")),""),"")</f>
        <v/>
      </c>
      <c r="P545" s="25">
        <f>IFERROR(IF(AND(O545&lt;&gt;"",F545&lt;&gt;"",I545&lt;&gt;""),O545/(F545*I545),""),"")</f>
        <v/>
      </c>
      <c r="Q545" s="26">
        <f>IFERROR(IF(AND(O545&lt;&gt;"",J545&lt;&gt;"",J545&lt;&gt;0),O545/J545,""),"")</f>
        <v/>
      </c>
      <c r="R545" s="27">
        <f>IFERROR(IF(AND(L545&lt;&gt;"",B545&lt;&gt;""),L545-B545,""),"")</f>
        <v/>
      </c>
      <c r="S545" s="19" t="n"/>
      <c r="T545" s="19" t="n"/>
      <c r="U545" s="17">
        <f>IF(O545&lt;&gt;"",544,"")</f>
        <v/>
      </c>
      <c r="V545" s="18">
        <f>IF(O545&lt;&gt;"",V544+O545,V544)</f>
        <v/>
      </c>
    </row>
    <row r="546">
      <c r="A546" s="8" t="n"/>
      <c r="B546" s="9" t="n"/>
      <c r="C546" s="8" t="n"/>
      <c r="D546" s="8" t="n"/>
      <c r="E546" s="8" t="n"/>
      <c r="F546" s="10" t="n"/>
      <c r="G546" s="10" t="n"/>
      <c r="H546" s="10" t="n"/>
      <c r="I546" s="11" t="n"/>
      <c r="J546" s="10">
        <f>IFERROR(IF(AND(F546&lt;&gt;"",G546&lt;&gt;"",I546&lt;&gt;""),ABS(F546-G546)*I546,""),"")</f>
        <v/>
      </c>
      <c r="K546" s="12">
        <f>IFERROR(IF(AND(F546&lt;&gt;"",G546&lt;&gt;"",H546&lt;&gt;""),ABS(H546-F546)/ABS(F546-G546),""),"")</f>
        <v/>
      </c>
      <c r="L546" s="9" t="n"/>
      <c r="M546" s="10" t="n"/>
      <c r="N546" s="10" t="n"/>
      <c r="O546" s="13">
        <f>IFERROR(IF(AND(M546&lt;&gt;"",F546&lt;&gt;"",I546&lt;&gt;""),IF(D546="Long",(M546-F546)*I546-IF(N546&lt;&gt;"",N546,0),IF(D546="Short",(F546-M546)*I546-IF(N546&lt;&gt;"",N546,0),"")),""),"")</f>
        <v/>
      </c>
      <c r="P546" s="14">
        <f>IFERROR(IF(AND(O546&lt;&gt;"",F546&lt;&gt;"",I546&lt;&gt;""),O546/(F546*I546),""),"")</f>
        <v/>
      </c>
      <c r="Q546" s="15">
        <f>IFERROR(IF(AND(O546&lt;&gt;"",J546&lt;&gt;"",J546&lt;&gt;0),O546/J546,""),"")</f>
        <v/>
      </c>
      <c r="R546" s="16">
        <f>IFERROR(IF(AND(L546&lt;&gt;"",B546&lt;&gt;""),L546-B546,""),"")</f>
        <v/>
      </c>
      <c r="S546" s="8" t="n"/>
      <c r="T546" s="8" t="n"/>
      <c r="U546" s="17">
        <f>IF(O546&lt;&gt;"",545,"")</f>
        <v/>
      </c>
      <c r="V546" s="18">
        <f>IF(O546&lt;&gt;"",V545+O546,V545)</f>
        <v/>
      </c>
    </row>
    <row r="547">
      <c r="A547" s="19" t="n"/>
      <c r="B547" s="20" t="n"/>
      <c r="C547" s="19" t="n"/>
      <c r="D547" s="19" t="n"/>
      <c r="E547" s="19" t="n"/>
      <c r="F547" s="21" t="n"/>
      <c r="G547" s="21" t="n"/>
      <c r="H547" s="21" t="n"/>
      <c r="I547" s="22" t="n"/>
      <c r="J547" s="21">
        <f>IFERROR(IF(AND(F547&lt;&gt;"",G547&lt;&gt;"",I547&lt;&gt;""),ABS(F547-G547)*I547,""),"")</f>
        <v/>
      </c>
      <c r="K547" s="23">
        <f>IFERROR(IF(AND(F547&lt;&gt;"",G547&lt;&gt;"",H547&lt;&gt;""),ABS(H547-F547)/ABS(F547-G547),""),"")</f>
        <v/>
      </c>
      <c r="L547" s="20" t="n"/>
      <c r="M547" s="21" t="n"/>
      <c r="N547" s="21" t="n"/>
      <c r="O547" s="24">
        <f>IFERROR(IF(AND(M547&lt;&gt;"",F547&lt;&gt;"",I547&lt;&gt;""),IF(D547="Long",(M547-F547)*I547-IF(N547&lt;&gt;"",N547,0),IF(D547="Short",(F547-M547)*I547-IF(N547&lt;&gt;"",N547,0),"")),""),"")</f>
        <v/>
      </c>
      <c r="P547" s="25">
        <f>IFERROR(IF(AND(O547&lt;&gt;"",F547&lt;&gt;"",I547&lt;&gt;""),O547/(F547*I547),""),"")</f>
        <v/>
      </c>
      <c r="Q547" s="26">
        <f>IFERROR(IF(AND(O547&lt;&gt;"",J547&lt;&gt;"",J547&lt;&gt;0),O547/J547,""),"")</f>
        <v/>
      </c>
      <c r="R547" s="27">
        <f>IFERROR(IF(AND(L547&lt;&gt;"",B547&lt;&gt;""),L547-B547,""),"")</f>
        <v/>
      </c>
      <c r="S547" s="19" t="n"/>
      <c r="T547" s="19" t="n"/>
      <c r="U547" s="17">
        <f>IF(O547&lt;&gt;"",546,"")</f>
        <v/>
      </c>
      <c r="V547" s="18">
        <f>IF(O547&lt;&gt;"",V546+O547,V546)</f>
        <v/>
      </c>
    </row>
    <row r="548">
      <c r="A548" s="8" t="n"/>
      <c r="B548" s="9" t="n"/>
      <c r="C548" s="8" t="n"/>
      <c r="D548" s="8" t="n"/>
      <c r="E548" s="8" t="n"/>
      <c r="F548" s="10" t="n"/>
      <c r="G548" s="10" t="n"/>
      <c r="H548" s="10" t="n"/>
      <c r="I548" s="11" t="n"/>
      <c r="J548" s="10">
        <f>IFERROR(IF(AND(F548&lt;&gt;"",G548&lt;&gt;"",I548&lt;&gt;""),ABS(F548-G548)*I548,""),"")</f>
        <v/>
      </c>
      <c r="K548" s="12">
        <f>IFERROR(IF(AND(F548&lt;&gt;"",G548&lt;&gt;"",H548&lt;&gt;""),ABS(H548-F548)/ABS(F548-G548),""),"")</f>
        <v/>
      </c>
      <c r="L548" s="9" t="n"/>
      <c r="M548" s="10" t="n"/>
      <c r="N548" s="10" t="n"/>
      <c r="O548" s="13">
        <f>IFERROR(IF(AND(M548&lt;&gt;"",F548&lt;&gt;"",I548&lt;&gt;""),IF(D548="Long",(M548-F548)*I548-IF(N548&lt;&gt;"",N548,0),IF(D548="Short",(F548-M548)*I548-IF(N548&lt;&gt;"",N548,0),"")),""),"")</f>
        <v/>
      </c>
      <c r="P548" s="14">
        <f>IFERROR(IF(AND(O548&lt;&gt;"",F548&lt;&gt;"",I548&lt;&gt;""),O548/(F548*I548),""),"")</f>
        <v/>
      </c>
      <c r="Q548" s="15">
        <f>IFERROR(IF(AND(O548&lt;&gt;"",J548&lt;&gt;"",J548&lt;&gt;0),O548/J548,""),"")</f>
        <v/>
      </c>
      <c r="R548" s="16">
        <f>IFERROR(IF(AND(L548&lt;&gt;"",B548&lt;&gt;""),L548-B548,""),"")</f>
        <v/>
      </c>
      <c r="S548" s="8" t="n"/>
      <c r="T548" s="8" t="n"/>
      <c r="U548" s="17">
        <f>IF(O548&lt;&gt;"",547,"")</f>
        <v/>
      </c>
      <c r="V548" s="18">
        <f>IF(O548&lt;&gt;"",V547+O548,V547)</f>
        <v/>
      </c>
    </row>
    <row r="549">
      <c r="A549" s="19" t="n"/>
      <c r="B549" s="20" t="n"/>
      <c r="C549" s="19" t="n"/>
      <c r="D549" s="19" t="n"/>
      <c r="E549" s="19" t="n"/>
      <c r="F549" s="21" t="n"/>
      <c r="G549" s="21" t="n"/>
      <c r="H549" s="21" t="n"/>
      <c r="I549" s="22" t="n"/>
      <c r="J549" s="21">
        <f>IFERROR(IF(AND(F549&lt;&gt;"",G549&lt;&gt;"",I549&lt;&gt;""),ABS(F549-G549)*I549,""),"")</f>
        <v/>
      </c>
      <c r="K549" s="23">
        <f>IFERROR(IF(AND(F549&lt;&gt;"",G549&lt;&gt;"",H549&lt;&gt;""),ABS(H549-F549)/ABS(F549-G549),""),"")</f>
        <v/>
      </c>
      <c r="L549" s="20" t="n"/>
      <c r="M549" s="21" t="n"/>
      <c r="N549" s="21" t="n"/>
      <c r="O549" s="24">
        <f>IFERROR(IF(AND(M549&lt;&gt;"",F549&lt;&gt;"",I549&lt;&gt;""),IF(D549="Long",(M549-F549)*I549-IF(N549&lt;&gt;"",N549,0),IF(D549="Short",(F549-M549)*I549-IF(N549&lt;&gt;"",N549,0),"")),""),"")</f>
        <v/>
      </c>
      <c r="P549" s="25">
        <f>IFERROR(IF(AND(O549&lt;&gt;"",F549&lt;&gt;"",I549&lt;&gt;""),O549/(F549*I549),""),"")</f>
        <v/>
      </c>
      <c r="Q549" s="26">
        <f>IFERROR(IF(AND(O549&lt;&gt;"",J549&lt;&gt;"",J549&lt;&gt;0),O549/J549,""),"")</f>
        <v/>
      </c>
      <c r="R549" s="27">
        <f>IFERROR(IF(AND(L549&lt;&gt;"",B549&lt;&gt;""),L549-B549,""),"")</f>
        <v/>
      </c>
      <c r="S549" s="19" t="n"/>
      <c r="T549" s="19" t="n"/>
      <c r="U549" s="17">
        <f>IF(O549&lt;&gt;"",548,"")</f>
        <v/>
      </c>
      <c r="V549" s="18">
        <f>IF(O549&lt;&gt;"",V548+O549,V548)</f>
        <v/>
      </c>
    </row>
    <row r="550">
      <c r="A550" s="8" t="n"/>
      <c r="B550" s="9" t="n"/>
      <c r="C550" s="8" t="n"/>
      <c r="D550" s="8" t="n"/>
      <c r="E550" s="8" t="n"/>
      <c r="F550" s="10" t="n"/>
      <c r="G550" s="10" t="n"/>
      <c r="H550" s="10" t="n"/>
      <c r="I550" s="11" t="n"/>
      <c r="J550" s="10">
        <f>IFERROR(IF(AND(F550&lt;&gt;"",G550&lt;&gt;"",I550&lt;&gt;""),ABS(F550-G550)*I550,""),"")</f>
        <v/>
      </c>
      <c r="K550" s="12">
        <f>IFERROR(IF(AND(F550&lt;&gt;"",G550&lt;&gt;"",H550&lt;&gt;""),ABS(H550-F550)/ABS(F550-G550),""),"")</f>
        <v/>
      </c>
      <c r="L550" s="9" t="n"/>
      <c r="M550" s="10" t="n"/>
      <c r="N550" s="10" t="n"/>
      <c r="O550" s="13">
        <f>IFERROR(IF(AND(M550&lt;&gt;"",F550&lt;&gt;"",I550&lt;&gt;""),IF(D550="Long",(M550-F550)*I550-IF(N550&lt;&gt;"",N550,0),IF(D550="Short",(F550-M550)*I550-IF(N550&lt;&gt;"",N550,0),"")),""),"")</f>
        <v/>
      </c>
      <c r="P550" s="14">
        <f>IFERROR(IF(AND(O550&lt;&gt;"",F550&lt;&gt;"",I550&lt;&gt;""),O550/(F550*I550),""),"")</f>
        <v/>
      </c>
      <c r="Q550" s="15">
        <f>IFERROR(IF(AND(O550&lt;&gt;"",J550&lt;&gt;"",J550&lt;&gt;0),O550/J550,""),"")</f>
        <v/>
      </c>
      <c r="R550" s="16">
        <f>IFERROR(IF(AND(L550&lt;&gt;"",B550&lt;&gt;""),L550-B550,""),"")</f>
        <v/>
      </c>
      <c r="S550" s="8" t="n"/>
      <c r="T550" s="8" t="n"/>
      <c r="U550" s="17">
        <f>IF(O550&lt;&gt;"",549,"")</f>
        <v/>
      </c>
      <c r="V550" s="18">
        <f>IF(O550&lt;&gt;"",V549+O550,V549)</f>
        <v/>
      </c>
    </row>
    <row r="551">
      <c r="A551" s="19" t="n"/>
      <c r="B551" s="20" t="n"/>
      <c r="C551" s="19" t="n"/>
      <c r="D551" s="19" t="n"/>
      <c r="E551" s="19" t="n"/>
      <c r="F551" s="21" t="n"/>
      <c r="G551" s="21" t="n"/>
      <c r="H551" s="21" t="n"/>
      <c r="I551" s="22" t="n"/>
      <c r="J551" s="21">
        <f>IFERROR(IF(AND(F551&lt;&gt;"",G551&lt;&gt;"",I551&lt;&gt;""),ABS(F551-G551)*I551,""),"")</f>
        <v/>
      </c>
      <c r="K551" s="23">
        <f>IFERROR(IF(AND(F551&lt;&gt;"",G551&lt;&gt;"",H551&lt;&gt;""),ABS(H551-F551)/ABS(F551-G551),""),"")</f>
        <v/>
      </c>
      <c r="L551" s="20" t="n"/>
      <c r="M551" s="21" t="n"/>
      <c r="N551" s="21" t="n"/>
      <c r="O551" s="24">
        <f>IFERROR(IF(AND(M551&lt;&gt;"",F551&lt;&gt;"",I551&lt;&gt;""),IF(D551="Long",(M551-F551)*I551-IF(N551&lt;&gt;"",N551,0),IF(D551="Short",(F551-M551)*I551-IF(N551&lt;&gt;"",N551,0),"")),""),"")</f>
        <v/>
      </c>
      <c r="P551" s="25">
        <f>IFERROR(IF(AND(O551&lt;&gt;"",F551&lt;&gt;"",I551&lt;&gt;""),O551/(F551*I551),""),"")</f>
        <v/>
      </c>
      <c r="Q551" s="26">
        <f>IFERROR(IF(AND(O551&lt;&gt;"",J551&lt;&gt;"",J551&lt;&gt;0),O551/J551,""),"")</f>
        <v/>
      </c>
      <c r="R551" s="27">
        <f>IFERROR(IF(AND(L551&lt;&gt;"",B551&lt;&gt;""),L551-B551,""),"")</f>
        <v/>
      </c>
      <c r="S551" s="19" t="n"/>
      <c r="T551" s="19" t="n"/>
      <c r="U551" s="17">
        <f>IF(O551&lt;&gt;"",550,"")</f>
        <v/>
      </c>
      <c r="V551" s="18">
        <f>IF(O551&lt;&gt;"",V550+O551,V550)</f>
        <v/>
      </c>
    </row>
    <row r="552">
      <c r="A552" s="8" t="n"/>
      <c r="B552" s="9" t="n"/>
      <c r="C552" s="8" t="n"/>
      <c r="D552" s="8" t="n"/>
      <c r="E552" s="8" t="n"/>
      <c r="F552" s="10" t="n"/>
      <c r="G552" s="10" t="n"/>
      <c r="H552" s="10" t="n"/>
      <c r="I552" s="11" t="n"/>
      <c r="J552" s="10">
        <f>IFERROR(IF(AND(F552&lt;&gt;"",G552&lt;&gt;"",I552&lt;&gt;""),ABS(F552-G552)*I552,""),"")</f>
        <v/>
      </c>
      <c r="K552" s="12">
        <f>IFERROR(IF(AND(F552&lt;&gt;"",G552&lt;&gt;"",H552&lt;&gt;""),ABS(H552-F552)/ABS(F552-G552),""),"")</f>
        <v/>
      </c>
      <c r="L552" s="9" t="n"/>
      <c r="M552" s="10" t="n"/>
      <c r="N552" s="10" t="n"/>
      <c r="O552" s="13">
        <f>IFERROR(IF(AND(M552&lt;&gt;"",F552&lt;&gt;"",I552&lt;&gt;""),IF(D552="Long",(M552-F552)*I552-IF(N552&lt;&gt;"",N552,0),IF(D552="Short",(F552-M552)*I552-IF(N552&lt;&gt;"",N552,0),"")),""),"")</f>
        <v/>
      </c>
      <c r="P552" s="14">
        <f>IFERROR(IF(AND(O552&lt;&gt;"",F552&lt;&gt;"",I552&lt;&gt;""),O552/(F552*I552),""),"")</f>
        <v/>
      </c>
      <c r="Q552" s="15">
        <f>IFERROR(IF(AND(O552&lt;&gt;"",J552&lt;&gt;"",J552&lt;&gt;0),O552/J552,""),"")</f>
        <v/>
      </c>
      <c r="R552" s="16">
        <f>IFERROR(IF(AND(L552&lt;&gt;"",B552&lt;&gt;""),L552-B552,""),"")</f>
        <v/>
      </c>
      <c r="S552" s="8" t="n"/>
      <c r="T552" s="8" t="n"/>
      <c r="U552" s="17">
        <f>IF(O552&lt;&gt;"",551,"")</f>
        <v/>
      </c>
      <c r="V552" s="18">
        <f>IF(O552&lt;&gt;"",V551+O552,V551)</f>
        <v/>
      </c>
    </row>
    <row r="553">
      <c r="A553" s="19" t="n"/>
      <c r="B553" s="20" t="n"/>
      <c r="C553" s="19" t="n"/>
      <c r="D553" s="19" t="n"/>
      <c r="E553" s="19" t="n"/>
      <c r="F553" s="21" t="n"/>
      <c r="G553" s="21" t="n"/>
      <c r="H553" s="21" t="n"/>
      <c r="I553" s="22" t="n"/>
      <c r="J553" s="21">
        <f>IFERROR(IF(AND(F553&lt;&gt;"",G553&lt;&gt;"",I553&lt;&gt;""),ABS(F553-G553)*I553,""),"")</f>
        <v/>
      </c>
      <c r="K553" s="23">
        <f>IFERROR(IF(AND(F553&lt;&gt;"",G553&lt;&gt;"",H553&lt;&gt;""),ABS(H553-F553)/ABS(F553-G553),""),"")</f>
        <v/>
      </c>
      <c r="L553" s="20" t="n"/>
      <c r="M553" s="21" t="n"/>
      <c r="N553" s="21" t="n"/>
      <c r="O553" s="24">
        <f>IFERROR(IF(AND(M553&lt;&gt;"",F553&lt;&gt;"",I553&lt;&gt;""),IF(D553="Long",(M553-F553)*I553-IF(N553&lt;&gt;"",N553,0),IF(D553="Short",(F553-M553)*I553-IF(N553&lt;&gt;"",N553,0),"")),""),"")</f>
        <v/>
      </c>
      <c r="P553" s="25">
        <f>IFERROR(IF(AND(O553&lt;&gt;"",F553&lt;&gt;"",I553&lt;&gt;""),O553/(F553*I553),""),"")</f>
        <v/>
      </c>
      <c r="Q553" s="26">
        <f>IFERROR(IF(AND(O553&lt;&gt;"",J553&lt;&gt;"",J553&lt;&gt;0),O553/J553,""),"")</f>
        <v/>
      </c>
      <c r="R553" s="27">
        <f>IFERROR(IF(AND(L553&lt;&gt;"",B553&lt;&gt;""),L553-B553,""),"")</f>
        <v/>
      </c>
      <c r="S553" s="19" t="n"/>
      <c r="T553" s="19" t="n"/>
      <c r="U553" s="17">
        <f>IF(O553&lt;&gt;"",552,"")</f>
        <v/>
      </c>
      <c r="V553" s="18">
        <f>IF(O553&lt;&gt;"",V552+O553,V552)</f>
        <v/>
      </c>
    </row>
    <row r="554">
      <c r="A554" s="8" t="n"/>
      <c r="B554" s="9" t="n"/>
      <c r="C554" s="8" t="n"/>
      <c r="D554" s="8" t="n"/>
      <c r="E554" s="8" t="n"/>
      <c r="F554" s="10" t="n"/>
      <c r="G554" s="10" t="n"/>
      <c r="H554" s="10" t="n"/>
      <c r="I554" s="11" t="n"/>
      <c r="J554" s="10">
        <f>IFERROR(IF(AND(F554&lt;&gt;"",G554&lt;&gt;"",I554&lt;&gt;""),ABS(F554-G554)*I554,""),"")</f>
        <v/>
      </c>
      <c r="K554" s="12">
        <f>IFERROR(IF(AND(F554&lt;&gt;"",G554&lt;&gt;"",H554&lt;&gt;""),ABS(H554-F554)/ABS(F554-G554),""),"")</f>
        <v/>
      </c>
      <c r="L554" s="9" t="n"/>
      <c r="M554" s="10" t="n"/>
      <c r="N554" s="10" t="n"/>
      <c r="O554" s="13">
        <f>IFERROR(IF(AND(M554&lt;&gt;"",F554&lt;&gt;"",I554&lt;&gt;""),IF(D554="Long",(M554-F554)*I554-IF(N554&lt;&gt;"",N554,0),IF(D554="Short",(F554-M554)*I554-IF(N554&lt;&gt;"",N554,0),"")),""),"")</f>
        <v/>
      </c>
      <c r="P554" s="14">
        <f>IFERROR(IF(AND(O554&lt;&gt;"",F554&lt;&gt;"",I554&lt;&gt;""),O554/(F554*I554),""),"")</f>
        <v/>
      </c>
      <c r="Q554" s="15">
        <f>IFERROR(IF(AND(O554&lt;&gt;"",J554&lt;&gt;"",J554&lt;&gt;0),O554/J554,""),"")</f>
        <v/>
      </c>
      <c r="R554" s="16">
        <f>IFERROR(IF(AND(L554&lt;&gt;"",B554&lt;&gt;""),L554-B554,""),"")</f>
        <v/>
      </c>
      <c r="S554" s="8" t="n"/>
      <c r="T554" s="8" t="n"/>
      <c r="U554" s="17">
        <f>IF(O554&lt;&gt;"",553,"")</f>
        <v/>
      </c>
      <c r="V554" s="18">
        <f>IF(O554&lt;&gt;"",V553+O554,V553)</f>
        <v/>
      </c>
    </row>
    <row r="555">
      <c r="A555" s="19" t="n"/>
      <c r="B555" s="20" t="n"/>
      <c r="C555" s="19" t="n"/>
      <c r="D555" s="19" t="n"/>
      <c r="E555" s="19" t="n"/>
      <c r="F555" s="21" t="n"/>
      <c r="G555" s="21" t="n"/>
      <c r="H555" s="21" t="n"/>
      <c r="I555" s="22" t="n"/>
      <c r="J555" s="21">
        <f>IFERROR(IF(AND(F555&lt;&gt;"",G555&lt;&gt;"",I555&lt;&gt;""),ABS(F555-G555)*I555,""),"")</f>
        <v/>
      </c>
      <c r="K555" s="23">
        <f>IFERROR(IF(AND(F555&lt;&gt;"",G555&lt;&gt;"",H555&lt;&gt;""),ABS(H555-F555)/ABS(F555-G555),""),"")</f>
        <v/>
      </c>
      <c r="L555" s="20" t="n"/>
      <c r="M555" s="21" t="n"/>
      <c r="N555" s="21" t="n"/>
      <c r="O555" s="24">
        <f>IFERROR(IF(AND(M555&lt;&gt;"",F555&lt;&gt;"",I555&lt;&gt;""),IF(D555="Long",(M555-F555)*I555-IF(N555&lt;&gt;"",N555,0),IF(D555="Short",(F555-M555)*I555-IF(N555&lt;&gt;"",N555,0),"")),""),"")</f>
        <v/>
      </c>
      <c r="P555" s="25">
        <f>IFERROR(IF(AND(O555&lt;&gt;"",F555&lt;&gt;"",I555&lt;&gt;""),O555/(F555*I555),""),"")</f>
        <v/>
      </c>
      <c r="Q555" s="26">
        <f>IFERROR(IF(AND(O555&lt;&gt;"",J555&lt;&gt;"",J555&lt;&gt;0),O555/J555,""),"")</f>
        <v/>
      </c>
      <c r="R555" s="27">
        <f>IFERROR(IF(AND(L555&lt;&gt;"",B555&lt;&gt;""),L555-B555,""),"")</f>
        <v/>
      </c>
      <c r="S555" s="19" t="n"/>
      <c r="T555" s="19" t="n"/>
      <c r="U555" s="17">
        <f>IF(O555&lt;&gt;"",554,"")</f>
        <v/>
      </c>
      <c r="V555" s="18">
        <f>IF(O555&lt;&gt;"",V554+O555,V554)</f>
        <v/>
      </c>
    </row>
    <row r="556">
      <c r="A556" s="8" t="n"/>
      <c r="B556" s="9" t="n"/>
      <c r="C556" s="8" t="n"/>
      <c r="D556" s="8" t="n"/>
      <c r="E556" s="8" t="n"/>
      <c r="F556" s="10" t="n"/>
      <c r="G556" s="10" t="n"/>
      <c r="H556" s="10" t="n"/>
      <c r="I556" s="11" t="n"/>
      <c r="J556" s="10">
        <f>IFERROR(IF(AND(F556&lt;&gt;"",G556&lt;&gt;"",I556&lt;&gt;""),ABS(F556-G556)*I556,""),"")</f>
        <v/>
      </c>
      <c r="K556" s="12">
        <f>IFERROR(IF(AND(F556&lt;&gt;"",G556&lt;&gt;"",H556&lt;&gt;""),ABS(H556-F556)/ABS(F556-G556),""),"")</f>
        <v/>
      </c>
      <c r="L556" s="9" t="n"/>
      <c r="M556" s="10" t="n"/>
      <c r="N556" s="10" t="n"/>
      <c r="O556" s="13">
        <f>IFERROR(IF(AND(M556&lt;&gt;"",F556&lt;&gt;"",I556&lt;&gt;""),IF(D556="Long",(M556-F556)*I556-IF(N556&lt;&gt;"",N556,0),IF(D556="Short",(F556-M556)*I556-IF(N556&lt;&gt;"",N556,0),"")),""),"")</f>
        <v/>
      </c>
      <c r="P556" s="14">
        <f>IFERROR(IF(AND(O556&lt;&gt;"",F556&lt;&gt;"",I556&lt;&gt;""),O556/(F556*I556),""),"")</f>
        <v/>
      </c>
      <c r="Q556" s="15">
        <f>IFERROR(IF(AND(O556&lt;&gt;"",J556&lt;&gt;"",J556&lt;&gt;0),O556/J556,""),"")</f>
        <v/>
      </c>
      <c r="R556" s="16">
        <f>IFERROR(IF(AND(L556&lt;&gt;"",B556&lt;&gt;""),L556-B556,""),"")</f>
        <v/>
      </c>
      <c r="S556" s="8" t="n"/>
      <c r="T556" s="8" t="n"/>
      <c r="U556" s="17">
        <f>IF(O556&lt;&gt;"",555,"")</f>
        <v/>
      </c>
      <c r="V556" s="18">
        <f>IF(O556&lt;&gt;"",V555+O556,V555)</f>
        <v/>
      </c>
    </row>
    <row r="557">
      <c r="A557" s="19" t="n"/>
      <c r="B557" s="20" t="n"/>
      <c r="C557" s="19" t="n"/>
      <c r="D557" s="19" t="n"/>
      <c r="E557" s="19" t="n"/>
      <c r="F557" s="21" t="n"/>
      <c r="G557" s="21" t="n"/>
      <c r="H557" s="21" t="n"/>
      <c r="I557" s="22" t="n"/>
      <c r="J557" s="21">
        <f>IFERROR(IF(AND(F557&lt;&gt;"",G557&lt;&gt;"",I557&lt;&gt;""),ABS(F557-G557)*I557,""),"")</f>
        <v/>
      </c>
      <c r="K557" s="23">
        <f>IFERROR(IF(AND(F557&lt;&gt;"",G557&lt;&gt;"",H557&lt;&gt;""),ABS(H557-F557)/ABS(F557-G557),""),"")</f>
        <v/>
      </c>
      <c r="L557" s="20" t="n"/>
      <c r="M557" s="21" t="n"/>
      <c r="N557" s="21" t="n"/>
      <c r="O557" s="24">
        <f>IFERROR(IF(AND(M557&lt;&gt;"",F557&lt;&gt;"",I557&lt;&gt;""),IF(D557="Long",(M557-F557)*I557-IF(N557&lt;&gt;"",N557,0),IF(D557="Short",(F557-M557)*I557-IF(N557&lt;&gt;"",N557,0),"")),""),"")</f>
        <v/>
      </c>
      <c r="P557" s="25">
        <f>IFERROR(IF(AND(O557&lt;&gt;"",F557&lt;&gt;"",I557&lt;&gt;""),O557/(F557*I557),""),"")</f>
        <v/>
      </c>
      <c r="Q557" s="26">
        <f>IFERROR(IF(AND(O557&lt;&gt;"",J557&lt;&gt;"",J557&lt;&gt;0),O557/J557,""),"")</f>
        <v/>
      </c>
      <c r="R557" s="27">
        <f>IFERROR(IF(AND(L557&lt;&gt;"",B557&lt;&gt;""),L557-B557,""),"")</f>
        <v/>
      </c>
      <c r="S557" s="19" t="n"/>
      <c r="T557" s="19" t="n"/>
      <c r="U557" s="17">
        <f>IF(O557&lt;&gt;"",556,"")</f>
        <v/>
      </c>
      <c r="V557" s="18">
        <f>IF(O557&lt;&gt;"",V556+O557,V556)</f>
        <v/>
      </c>
    </row>
    <row r="558">
      <c r="A558" s="8" t="n"/>
      <c r="B558" s="9" t="n"/>
      <c r="C558" s="8" t="n"/>
      <c r="D558" s="8" t="n"/>
      <c r="E558" s="8" t="n"/>
      <c r="F558" s="10" t="n"/>
      <c r="G558" s="10" t="n"/>
      <c r="H558" s="10" t="n"/>
      <c r="I558" s="11" t="n"/>
      <c r="J558" s="10">
        <f>IFERROR(IF(AND(F558&lt;&gt;"",G558&lt;&gt;"",I558&lt;&gt;""),ABS(F558-G558)*I558,""),"")</f>
        <v/>
      </c>
      <c r="K558" s="12">
        <f>IFERROR(IF(AND(F558&lt;&gt;"",G558&lt;&gt;"",H558&lt;&gt;""),ABS(H558-F558)/ABS(F558-G558),""),"")</f>
        <v/>
      </c>
      <c r="L558" s="9" t="n"/>
      <c r="M558" s="10" t="n"/>
      <c r="N558" s="10" t="n"/>
      <c r="O558" s="13">
        <f>IFERROR(IF(AND(M558&lt;&gt;"",F558&lt;&gt;"",I558&lt;&gt;""),IF(D558="Long",(M558-F558)*I558-IF(N558&lt;&gt;"",N558,0),IF(D558="Short",(F558-M558)*I558-IF(N558&lt;&gt;"",N558,0),"")),""),"")</f>
        <v/>
      </c>
      <c r="P558" s="14">
        <f>IFERROR(IF(AND(O558&lt;&gt;"",F558&lt;&gt;"",I558&lt;&gt;""),O558/(F558*I558),""),"")</f>
        <v/>
      </c>
      <c r="Q558" s="15">
        <f>IFERROR(IF(AND(O558&lt;&gt;"",J558&lt;&gt;"",J558&lt;&gt;0),O558/J558,""),"")</f>
        <v/>
      </c>
      <c r="R558" s="16">
        <f>IFERROR(IF(AND(L558&lt;&gt;"",B558&lt;&gt;""),L558-B558,""),"")</f>
        <v/>
      </c>
      <c r="S558" s="8" t="n"/>
      <c r="T558" s="8" t="n"/>
      <c r="U558" s="17">
        <f>IF(O558&lt;&gt;"",557,"")</f>
        <v/>
      </c>
      <c r="V558" s="18">
        <f>IF(O558&lt;&gt;"",V557+O558,V557)</f>
        <v/>
      </c>
    </row>
    <row r="559">
      <c r="A559" s="19" t="n"/>
      <c r="B559" s="20" t="n"/>
      <c r="C559" s="19" t="n"/>
      <c r="D559" s="19" t="n"/>
      <c r="E559" s="19" t="n"/>
      <c r="F559" s="21" t="n"/>
      <c r="G559" s="21" t="n"/>
      <c r="H559" s="21" t="n"/>
      <c r="I559" s="22" t="n"/>
      <c r="J559" s="21">
        <f>IFERROR(IF(AND(F559&lt;&gt;"",G559&lt;&gt;"",I559&lt;&gt;""),ABS(F559-G559)*I559,""),"")</f>
        <v/>
      </c>
      <c r="K559" s="23">
        <f>IFERROR(IF(AND(F559&lt;&gt;"",G559&lt;&gt;"",H559&lt;&gt;""),ABS(H559-F559)/ABS(F559-G559),""),"")</f>
        <v/>
      </c>
      <c r="L559" s="20" t="n"/>
      <c r="M559" s="21" t="n"/>
      <c r="N559" s="21" t="n"/>
      <c r="O559" s="24">
        <f>IFERROR(IF(AND(M559&lt;&gt;"",F559&lt;&gt;"",I559&lt;&gt;""),IF(D559="Long",(M559-F559)*I559-IF(N559&lt;&gt;"",N559,0),IF(D559="Short",(F559-M559)*I559-IF(N559&lt;&gt;"",N559,0),"")),""),"")</f>
        <v/>
      </c>
      <c r="P559" s="25">
        <f>IFERROR(IF(AND(O559&lt;&gt;"",F559&lt;&gt;"",I559&lt;&gt;""),O559/(F559*I559),""),"")</f>
        <v/>
      </c>
      <c r="Q559" s="26">
        <f>IFERROR(IF(AND(O559&lt;&gt;"",J559&lt;&gt;"",J559&lt;&gt;0),O559/J559,""),"")</f>
        <v/>
      </c>
      <c r="R559" s="27">
        <f>IFERROR(IF(AND(L559&lt;&gt;"",B559&lt;&gt;""),L559-B559,""),"")</f>
        <v/>
      </c>
      <c r="S559" s="19" t="n"/>
      <c r="T559" s="19" t="n"/>
      <c r="U559" s="17">
        <f>IF(O559&lt;&gt;"",558,"")</f>
        <v/>
      </c>
      <c r="V559" s="18">
        <f>IF(O559&lt;&gt;"",V558+O559,V558)</f>
        <v/>
      </c>
    </row>
    <row r="560">
      <c r="A560" s="8" t="n"/>
      <c r="B560" s="9" t="n"/>
      <c r="C560" s="8" t="n"/>
      <c r="D560" s="8" t="n"/>
      <c r="E560" s="8" t="n"/>
      <c r="F560" s="10" t="n"/>
      <c r="G560" s="10" t="n"/>
      <c r="H560" s="10" t="n"/>
      <c r="I560" s="11" t="n"/>
      <c r="J560" s="10">
        <f>IFERROR(IF(AND(F560&lt;&gt;"",G560&lt;&gt;"",I560&lt;&gt;""),ABS(F560-G560)*I560,""),"")</f>
        <v/>
      </c>
      <c r="K560" s="12">
        <f>IFERROR(IF(AND(F560&lt;&gt;"",G560&lt;&gt;"",H560&lt;&gt;""),ABS(H560-F560)/ABS(F560-G560),""),"")</f>
        <v/>
      </c>
      <c r="L560" s="9" t="n"/>
      <c r="M560" s="10" t="n"/>
      <c r="N560" s="10" t="n"/>
      <c r="O560" s="13">
        <f>IFERROR(IF(AND(M560&lt;&gt;"",F560&lt;&gt;"",I560&lt;&gt;""),IF(D560="Long",(M560-F560)*I560-IF(N560&lt;&gt;"",N560,0),IF(D560="Short",(F560-M560)*I560-IF(N560&lt;&gt;"",N560,0),"")),""),"")</f>
        <v/>
      </c>
      <c r="P560" s="14">
        <f>IFERROR(IF(AND(O560&lt;&gt;"",F560&lt;&gt;"",I560&lt;&gt;""),O560/(F560*I560),""),"")</f>
        <v/>
      </c>
      <c r="Q560" s="15">
        <f>IFERROR(IF(AND(O560&lt;&gt;"",J560&lt;&gt;"",J560&lt;&gt;0),O560/J560,""),"")</f>
        <v/>
      </c>
      <c r="R560" s="16">
        <f>IFERROR(IF(AND(L560&lt;&gt;"",B560&lt;&gt;""),L560-B560,""),"")</f>
        <v/>
      </c>
      <c r="S560" s="8" t="n"/>
      <c r="T560" s="8" t="n"/>
      <c r="U560" s="17">
        <f>IF(O560&lt;&gt;"",559,"")</f>
        <v/>
      </c>
      <c r="V560" s="18">
        <f>IF(O560&lt;&gt;"",V559+O560,V559)</f>
        <v/>
      </c>
    </row>
    <row r="561">
      <c r="A561" s="19" t="n"/>
      <c r="B561" s="20" t="n"/>
      <c r="C561" s="19" t="n"/>
      <c r="D561" s="19" t="n"/>
      <c r="E561" s="19" t="n"/>
      <c r="F561" s="21" t="n"/>
      <c r="G561" s="21" t="n"/>
      <c r="H561" s="21" t="n"/>
      <c r="I561" s="22" t="n"/>
      <c r="J561" s="21">
        <f>IFERROR(IF(AND(F561&lt;&gt;"",G561&lt;&gt;"",I561&lt;&gt;""),ABS(F561-G561)*I561,""),"")</f>
        <v/>
      </c>
      <c r="K561" s="23">
        <f>IFERROR(IF(AND(F561&lt;&gt;"",G561&lt;&gt;"",H561&lt;&gt;""),ABS(H561-F561)/ABS(F561-G561),""),"")</f>
        <v/>
      </c>
      <c r="L561" s="20" t="n"/>
      <c r="M561" s="21" t="n"/>
      <c r="N561" s="21" t="n"/>
      <c r="O561" s="24">
        <f>IFERROR(IF(AND(M561&lt;&gt;"",F561&lt;&gt;"",I561&lt;&gt;""),IF(D561="Long",(M561-F561)*I561-IF(N561&lt;&gt;"",N561,0),IF(D561="Short",(F561-M561)*I561-IF(N561&lt;&gt;"",N561,0),"")),""),"")</f>
        <v/>
      </c>
      <c r="P561" s="25">
        <f>IFERROR(IF(AND(O561&lt;&gt;"",F561&lt;&gt;"",I561&lt;&gt;""),O561/(F561*I561),""),"")</f>
        <v/>
      </c>
      <c r="Q561" s="26">
        <f>IFERROR(IF(AND(O561&lt;&gt;"",J561&lt;&gt;"",J561&lt;&gt;0),O561/J561,""),"")</f>
        <v/>
      </c>
      <c r="R561" s="27">
        <f>IFERROR(IF(AND(L561&lt;&gt;"",B561&lt;&gt;""),L561-B561,""),"")</f>
        <v/>
      </c>
      <c r="S561" s="19" t="n"/>
      <c r="T561" s="19" t="n"/>
      <c r="U561" s="17">
        <f>IF(O561&lt;&gt;"",560,"")</f>
        <v/>
      </c>
      <c r="V561" s="18">
        <f>IF(O561&lt;&gt;"",V560+O561,V560)</f>
        <v/>
      </c>
    </row>
    <row r="562">
      <c r="A562" s="8" t="n"/>
      <c r="B562" s="9" t="n"/>
      <c r="C562" s="8" t="n"/>
      <c r="D562" s="8" t="n"/>
      <c r="E562" s="8" t="n"/>
      <c r="F562" s="10" t="n"/>
      <c r="G562" s="10" t="n"/>
      <c r="H562" s="10" t="n"/>
      <c r="I562" s="11" t="n"/>
      <c r="J562" s="10">
        <f>IFERROR(IF(AND(F562&lt;&gt;"",G562&lt;&gt;"",I562&lt;&gt;""),ABS(F562-G562)*I562,""),"")</f>
        <v/>
      </c>
      <c r="K562" s="12">
        <f>IFERROR(IF(AND(F562&lt;&gt;"",G562&lt;&gt;"",H562&lt;&gt;""),ABS(H562-F562)/ABS(F562-G562),""),"")</f>
        <v/>
      </c>
      <c r="L562" s="9" t="n"/>
      <c r="M562" s="10" t="n"/>
      <c r="N562" s="10" t="n"/>
      <c r="O562" s="13">
        <f>IFERROR(IF(AND(M562&lt;&gt;"",F562&lt;&gt;"",I562&lt;&gt;""),IF(D562="Long",(M562-F562)*I562-IF(N562&lt;&gt;"",N562,0),IF(D562="Short",(F562-M562)*I562-IF(N562&lt;&gt;"",N562,0),"")),""),"")</f>
        <v/>
      </c>
      <c r="P562" s="14">
        <f>IFERROR(IF(AND(O562&lt;&gt;"",F562&lt;&gt;"",I562&lt;&gt;""),O562/(F562*I562),""),"")</f>
        <v/>
      </c>
      <c r="Q562" s="15">
        <f>IFERROR(IF(AND(O562&lt;&gt;"",J562&lt;&gt;"",J562&lt;&gt;0),O562/J562,""),"")</f>
        <v/>
      </c>
      <c r="R562" s="16">
        <f>IFERROR(IF(AND(L562&lt;&gt;"",B562&lt;&gt;""),L562-B562,""),"")</f>
        <v/>
      </c>
      <c r="S562" s="8" t="n"/>
      <c r="T562" s="8" t="n"/>
      <c r="U562" s="17">
        <f>IF(O562&lt;&gt;"",561,"")</f>
        <v/>
      </c>
      <c r="V562" s="18">
        <f>IF(O562&lt;&gt;"",V561+O562,V561)</f>
        <v/>
      </c>
    </row>
    <row r="563">
      <c r="A563" s="19" t="n"/>
      <c r="B563" s="20" t="n"/>
      <c r="C563" s="19" t="n"/>
      <c r="D563" s="19" t="n"/>
      <c r="E563" s="19" t="n"/>
      <c r="F563" s="21" t="n"/>
      <c r="G563" s="21" t="n"/>
      <c r="H563" s="21" t="n"/>
      <c r="I563" s="22" t="n"/>
      <c r="J563" s="21">
        <f>IFERROR(IF(AND(F563&lt;&gt;"",G563&lt;&gt;"",I563&lt;&gt;""),ABS(F563-G563)*I563,""),"")</f>
        <v/>
      </c>
      <c r="K563" s="23">
        <f>IFERROR(IF(AND(F563&lt;&gt;"",G563&lt;&gt;"",H563&lt;&gt;""),ABS(H563-F563)/ABS(F563-G563),""),"")</f>
        <v/>
      </c>
      <c r="L563" s="20" t="n"/>
      <c r="M563" s="21" t="n"/>
      <c r="N563" s="21" t="n"/>
      <c r="O563" s="24">
        <f>IFERROR(IF(AND(M563&lt;&gt;"",F563&lt;&gt;"",I563&lt;&gt;""),IF(D563="Long",(M563-F563)*I563-IF(N563&lt;&gt;"",N563,0),IF(D563="Short",(F563-M563)*I563-IF(N563&lt;&gt;"",N563,0),"")),""),"")</f>
        <v/>
      </c>
      <c r="P563" s="25">
        <f>IFERROR(IF(AND(O563&lt;&gt;"",F563&lt;&gt;"",I563&lt;&gt;""),O563/(F563*I563),""),"")</f>
        <v/>
      </c>
      <c r="Q563" s="26">
        <f>IFERROR(IF(AND(O563&lt;&gt;"",J563&lt;&gt;"",J563&lt;&gt;0),O563/J563,""),"")</f>
        <v/>
      </c>
      <c r="R563" s="27">
        <f>IFERROR(IF(AND(L563&lt;&gt;"",B563&lt;&gt;""),L563-B563,""),"")</f>
        <v/>
      </c>
      <c r="S563" s="19" t="n"/>
      <c r="T563" s="19" t="n"/>
      <c r="U563" s="17">
        <f>IF(O563&lt;&gt;"",562,"")</f>
        <v/>
      </c>
      <c r="V563" s="18">
        <f>IF(O563&lt;&gt;"",V562+O563,V562)</f>
        <v/>
      </c>
    </row>
    <row r="564">
      <c r="A564" s="8" t="n"/>
      <c r="B564" s="9" t="n"/>
      <c r="C564" s="8" t="n"/>
      <c r="D564" s="8" t="n"/>
      <c r="E564" s="8" t="n"/>
      <c r="F564" s="10" t="n"/>
      <c r="G564" s="10" t="n"/>
      <c r="H564" s="10" t="n"/>
      <c r="I564" s="11" t="n"/>
      <c r="J564" s="10">
        <f>IFERROR(IF(AND(F564&lt;&gt;"",G564&lt;&gt;"",I564&lt;&gt;""),ABS(F564-G564)*I564,""),"")</f>
        <v/>
      </c>
      <c r="K564" s="12">
        <f>IFERROR(IF(AND(F564&lt;&gt;"",G564&lt;&gt;"",H564&lt;&gt;""),ABS(H564-F564)/ABS(F564-G564),""),"")</f>
        <v/>
      </c>
      <c r="L564" s="9" t="n"/>
      <c r="M564" s="10" t="n"/>
      <c r="N564" s="10" t="n"/>
      <c r="O564" s="13">
        <f>IFERROR(IF(AND(M564&lt;&gt;"",F564&lt;&gt;"",I564&lt;&gt;""),IF(D564="Long",(M564-F564)*I564-IF(N564&lt;&gt;"",N564,0),IF(D564="Short",(F564-M564)*I564-IF(N564&lt;&gt;"",N564,0),"")),""),"")</f>
        <v/>
      </c>
      <c r="P564" s="14">
        <f>IFERROR(IF(AND(O564&lt;&gt;"",F564&lt;&gt;"",I564&lt;&gt;""),O564/(F564*I564),""),"")</f>
        <v/>
      </c>
      <c r="Q564" s="15">
        <f>IFERROR(IF(AND(O564&lt;&gt;"",J564&lt;&gt;"",J564&lt;&gt;0),O564/J564,""),"")</f>
        <v/>
      </c>
      <c r="R564" s="16">
        <f>IFERROR(IF(AND(L564&lt;&gt;"",B564&lt;&gt;""),L564-B564,""),"")</f>
        <v/>
      </c>
      <c r="S564" s="8" t="n"/>
      <c r="T564" s="8" t="n"/>
      <c r="U564" s="17">
        <f>IF(O564&lt;&gt;"",563,"")</f>
        <v/>
      </c>
      <c r="V564" s="18">
        <f>IF(O564&lt;&gt;"",V563+O564,V563)</f>
        <v/>
      </c>
    </row>
    <row r="565">
      <c r="A565" s="19" t="n"/>
      <c r="B565" s="20" t="n"/>
      <c r="C565" s="19" t="n"/>
      <c r="D565" s="19" t="n"/>
      <c r="E565" s="19" t="n"/>
      <c r="F565" s="21" t="n"/>
      <c r="G565" s="21" t="n"/>
      <c r="H565" s="21" t="n"/>
      <c r="I565" s="22" t="n"/>
      <c r="J565" s="21">
        <f>IFERROR(IF(AND(F565&lt;&gt;"",G565&lt;&gt;"",I565&lt;&gt;""),ABS(F565-G565)*I565,""),"")</f>
        <v/>
      </c>
      <c r="K565" s="23">
        <f>IFERROR(IF(AND(F565&lt;&gt;"",G565&lt;&gt;"",H565&lt;&gt;""),ABS(H565-F565)/ABS(F565-G565),""),"")</f>
        <v/>
      </c>
      <c r="L565" s="20" t="n"/>
      <c r="M565" s="21" t="n"/>
      <c r="N565" s="21" t="n"/>
      <c r="O565" s="24">
        <f>IFERROR(IF(AND(M565&lt;&gt;"",F565&lt;&gt;"",I565&lt;&gt;""),IF(D565="Long",(M565-F565)*I565-IF(N565&lt;&gt;"",N565,0),IF(D565="Short",(F565-M565)*I565-IF(N565&lt;&gt;"",N565,0),"")),""),"")</f>
        <v/>
      </c>
      <c r="P565" s="25">
        <f>IFERROR(IF(AND(O565&lt;&gt;"",F565&lt;&gt;"",I565&lt;&gt;""),O565/(F565*I565),""),"")</f>
        <v/>
      </c>
      <c r="Q565" s="26">
        <f>IFERROR(IF(AND(O565&lt;&gt;"",J565&lt;&gt;"",J565&lt;&gt;0),O565/J565,""),"")</f>
        <v/>
      </c>
      <c r="R565" s="27">
        <f>IFERROR(IF(AND(L565&lt;&gt;"",B565&lt;&gt;""),L565-B565,""),"")</f>
        <v/>
      </c>
      <c r="S565" s="19" t="n"/>
      <c r="T565" s="19" t="n"/>
      <c r="U565" s="17">
        <f>IF(O565&lt;&gt;"",564,"")</f>
        <v/>
      </c>
      <c r="V565" s="18">
        <f>IF(O565&lt;&gt;"",V564+O565,V564)</f>
        <v/>
      </c>
    </row>
    <row r="566">
      <c r="A566" s="8" t="n"/>
      <c r="B566" s="9" t="n"/>
      <c r="C566" s="8" t="n"/>
      <c r="D566" s="8" t="n"/>
      <c r="E566" s="8" t="n"/>
      <c r="F566" s="10" t="n"/>
      <c r="G566" s="10" t="n"/>
      <c r="H566" s="10" t="n"/>
      <c r="I566" s="11" t="n"/>
      <c r="J566" s="10">
        <f>IFERROR(IF(AND(F566&lt;&gt;"",G566&lt;&gt;"",I566&lt;&gt;""),ABS(F566-G566)*I566,""),"")</f>
        <v/>
      </c>
      <c r="K566" s="12">
        <f>IFERROR(IF(AND(F566&lt;&gt;"",G566&lt;&gt;"",H566&lt;&gt;""),ABS(H566-F566)/ABS(F566-G566),""),"")</f>
        <v/>
      </c>
      <c r="L566" s="9" t="n"/>
      <c r="M566" s="10" t="n"/>
      <c r="N566" s="10" t="n"/>
      <c r="O566" s="13">
        <f>IFERROR(IF(AND(M566&lt;&gt;"",F566&lt;&gt;"",I566&lt;&gt;""),IF(D566="Long",(M566-F566)*I566-IF(N566&lt;&gt;"",N566,0),IF(D566="Short",(F566-M566)*I566-IF(N566&lt;&gt;"",N566,0),"")),""),"")</f>
        <v/>
      </c>
      <c r="P566" s="14">
        <f>IFERROR(IF(AND(O566&lt;&gt;"",F566&lt;&gt;"",I566&lt;&gt;""),O566/(F566*I566),""),"")</f>
        <v/>
      </c>
      <c r="Q566" s="15">
        <f>IFERROR(IF(AND(O566&lt;&gt;"",J566&lt;&gt;"",J566&lt;&gt;0),O566/J566,""),"")</f>
        <v/>
      </c>
      <c r="R566" s="16">
        <f>IFERROR(IF(AND(L566&lt;&gt;"",B566&lt;&gt;""),L566-B566,""),"")</f>
        <v/>
      </c>
      <c r="S566" s="8" t="n"/>
      <c r="T566" s="8" t="n"/>
      <c r="U566" s="17">
        <f>IF(O566&lt;&gt;"",565,"")</f>
        <v/>
      </c>
      <c r="V566" s="18">
        <f>IF(O566&lt;&gt;"",V565+O566,V565)</f>
        <v/>
      </c>
    </row>
    <row r="567">
      <c r="A567" s="19" t="n"/>
      <c r="B567" s="20" t="n"/>
      <c r="C567" s="19" t="n"/>
      <c r="D567" s="19" t="n"/>
      <c r="E567" s="19" t="n"/>
      <c r="F567" s="21" t="n"/>
      <c r="G567" s="21" t="n"/>
      <c r="H567" s="21" t="n"/>
      <c r="I567" s="22" t="n"/>
      <c r="J567" s="21">
        <f>IFERROR(IF(AND(F567&lt;&gt;"",G567&lt;&gt;"",I567&lt;&gt;""),ABS(F567-G567)*I567,""),"")</f>
        <v/>
      </c>
      <c r="K567" s="23">
        <f>IFERROR(IF(AND(F567&lt;&gt;"",G567&lt;&gt;"",H567&lt;&gt;""),ABS(H567-F567)/ABS(F567-G567),""),"")</f>
        <v/>
      </c>
      <c r="L567" s="20" t="n"/>
      <c r="M567" s="21" t="n"/>
      <c r="N567" s="21" t="n"/>
      <c r="O567" s="24">
        <f>IFERROR(IF(AND(M567&lt;&gt;"",F567&lt;&gt;"",I567&lt;&gt;""),IF(D567="Long",(M567-F567)*I567-IF(N567&lt;&gt;"",N567,0),IF(D567="Short",(F567-M567)*I567-IF(N567&lt;&gt;"",N567,0),"")),""),"")</f>
        <v/>
      </c>
      <c r="P567" s="25">
        <f>IFERROR(IF(AND(O567&lt;&gt;"",F567&lt;&gt;"",I567&lt;&gt;""),O567/(F567*I567),""),"")</f>
        <v/>
      </c>
      <c r="Q567" s="26">
        <f>IFERROR(IF(AND(O567&lt;&gt;"",J567&lt;&gt;"",J567&lt;&gt;0),O567/J567,""),"")</f>
        <v/>
      </c>
      <c r="R567" s="27">
        <f>IFERROR(IF(AND(L567&lt;&gt;"",B567&lt;&gt;""),L567-B567,""),"")</f>
        <v/>
      </c>
      <c r="S567" s="19" t="n"/>
      <c r="T567" s="19" t="n"/>
      <c r="U567" s="17">
        <f>IF(O567&lt;&gt;"",566,"")</f>
        <v/>
      </c>
      <c r="V567" s="18">
        <f>IF(O567&lt;&gt;"",V566+O567,V566)</f>
        <v/>
      </c>
    </row>
    <row r="568">
      <c r="A568" s="8" t="n"/>
      <c r="B568" s="9" t="n"/>
      <c r="C568" s="8" t="n"/>
      <c r="D568" s="8" t="n"/>
      <c r="E568" s="8" t="n"/>
      <c r="F568" s="10" t="n"/>
      <c r="G568" s="10" t="n"/>
      <c r="H568" s="10" t="n"/>
      <c r="I568" s="11" t="n"/>
      <c r="J568" s="10">
        <f>IFERROR(IF(AND(F568&lt;&gt;"",G568&lt;&gt;"",I568&lt;&gt;""),ABS(F568-G568)*I568,""),"")</f>
        <v/>
      </c>
      <c r="K568" s="12">
        <f>IFERROR(IF(AND(F568&lt;&gt;"",G568&lt;&gt;"",H568&lt;&gt;""),ABS(H568-F568)/ABS(F568-G568),""),"")</f>
        <v/>
      </c>
      <c r="L568" s="9" t="n"/>
      <c r="M568" s="10" t="n"/>
      <c r="N568" s="10" t="n"/>
      <c r="O568" s="13">
        <f>IFERROR(IF(AND(M568&lt;&gt;"",F568&lt;&gt;"",I568&lt;&gt;""),IF(D568="Long",(M568-F568)*I568-IF(N568&lt;&gt;"",N568,0),IF(D568="Short",(F568-M568)*I568-IF(N568&lt;&gt;"",N568,0),"")),""),"")</f>
        <v/>
      </c>
      <c r="P568" s="14">
        <f>IFERROR(IF(AND(O568&lt;&gt;"",F568&lt;&gt;"",I568&lt;&gt;""),O568/(F568*I568),""),"")</f>
        <v/>
      </c>
      <c r="Q568" s="15">
        <f>IFERROR(IF(AND(O568&lt;&gt;"",J568&lt;&gt;"",J568&lt;&gt;0),O568/J568,""),"")</f>
        <v/>
      </c>
      <c r="R568" s="16">
        <f>IFERROR(IF(AND(L568&lt;&gt;"",B568&lt;&gt;""),L568-B568,""),"")</f>
        <v/>
      </c>
      <c r="S568" s="8" t="n"/>
      <c r="T568" s="8" t="n"/>
      <c r="U568" s="17">
        <f>IF(O568&lt;&gt;"",567,"")</f>
        <v/>
      </c>
      <c r="V568" s="18">
        <f>IF(O568&lt;&gt;"",V567+O568,V567)</f>
        <v/>
      </c>
    </row>
    <row r="569">
      <c r="A569" s="19" t="n"/>
      <c r="B569" s="20" t="n"/>
      <c r="C569" s="19" t="n"/>
      <c r="D569" s="19" t="n"/>
      <c r="E569" s="19" t="n"/>
      <c r="F569" s="21" t="n"/>
      <c r="G569" s="21" t="n"/>
      <c r="H569" s="21" t="n"/>
      <c r="I569" s="22" t="n"/>
      <c r="J569" s="21">
        <f>IFERROR(IF(AND(F569&lt;&gt;"",G569&lt;&gt;"",I569&lt;&gt;""),ABS(F569-G569)*I569,""),"")</f>
        <v/>
      </c>
      <c r="K569" s="23">
        <f>IFERROR(IF(AND(F569&lt;&gt;"",G569&lt;&gt;"",H569&lt;&gt;""),ABS(H569-F569)/ABS(F569-G569),""),"")</f>
        <v/>
      </c>
      <c r="L569" s="20" t="n"/>
      <c r="M569" s="21" t="n"/>
      <c r="N569" s="21" t="n"/>
      <c r="O569" s="24">
        <f>IFERROR(IF(AND(M569&lt;&gt;"",F569&lt;&gt;"",I569&lt;&gt;""),IF(D569="Long",(M569-F569)*I569-IF(N569&lt;&gt;"",N569,0),IF(D569="Short",(F569-M569)*I569-IF(N569&lt;&gt;"",N569,0),"")),""),"")</f>
        <v/>
      </c>
      <c r="P569" s="25">
        <f>IFERROR(IF(AND(O569&lt;&gt;"",F569&lt;&gt;"",I569&lt;&gt;""),O569/(F569*I569),""),"")</f>
        <v/>
      </c>
      <c r="Q569" s="26">
        <f>IFERROR(IF(AND(O569&lt;&gt;"",J569&lt;&gt;"",J569&lt;&gt;0),O569/J569,""),"")</f>
        <v/>
      </c>
      <c r="R569" s="27">
        <f>IFERROR(IF(AND(L569&lt;&gt;"",B569&lt;&gt;""),L569-B569,""),"")</f>
        <v/>
      </c>
      <c r="S569" s="19" t="n"/>
      <c r="T569" s="19" t="n"/>
      <c r="U569" s="17">
        <f>IF(O569&lt;&gt;"",568,"")</f>
        <v/>
      </c>
      <c r="V569" s="18">
        <f>IF(O569&lt;&gt;"",V568+O569,V568)</f>
        <v/>
      </c>
    </row>
    <row r="570">
      <c r="A570" s="8" t="n"/>
      <c r="B570" s="9" t="n"/>
      <c r="C570" s="8" t="n"/>
      <c r="D570" s="8" t="n"/>
      <c r="E570" s="8" t="n"/>
      <c r="F570" s="10" t="n"/>
      <c r="G570" s="10" t="n"/>
      <c r="H570" s="10" t="n"/>
      <c r="I570" s="11" t="n"/>
      <c r="J570" s="10">
        <f>IFERROR(IF(AND(F570&lt;&gt;"",G570&lt;&gt;"",I570&lt;&gt;""),ABS(F570-G570)*I570,""),"")</f>
        <v/>
      </c>
      <c r="K570" s="12">
        <f>IFERROR(IF(AND(F570&lt;&gt;"",G570&lt;&gt;"",H570&lt;&gt;""),ABS(H570-F570)/ABS(F570-G570),""),"")</f>
        <v/>
      </c>
      <c r="L570" s="9" t="n"/>
      <c r="M570" s="10" t="n"/>
      <c r="N570" s="10" t="n"/>
      <c r="O570" s="13">
        <f>IFERROR(IF(AND(M570&lt;&gt;"",F570&lt;&gt;"",I570&lt;&gt;""),IF(D570="Long",(M570-F570)*I570-IF(N570&lt;&gt;"",N570,0),IF(D570="Short",(F570-M570)*I570-IF(N570&lt;&gt;"",N570,0),"")),""),"")</f>
        <v/>
      </c>
      <c r="P570" s="14">
        <f>IFERROR(IF(AND(O570&lt;&gt;"",F570&lt;&gt;"",I570&lt;&gt;""),O570/(F570*I570),""),"")</f>
        <v/>
      </c>
      <c r="Q570" s="15">
        <f>IFERROR(IF(AND(O570&lt;&gt;"",J570&lt;&gt;"",J570&lt;&gt;0),O570/J570,""),"")</f>
        <v/>
      </c>
      <c r="R570" s="16">
        <f>IFERROR(IF(AND(L570&lt;&gt;"",B570&lt;&gt;""),L570-B570,""),"")</f>
        <v/>
      </c>
      <c r="S570" s="8" t="n"/>
      <c r="T570" s="8" t="n"/>
      <c r="U570" s="17">
        <f>IF(O570&lt;&gt;"",569,"")</f>
        <v/>
      </c>
      <c r="V570" s="18">
        <f>IF(O570&lt;&gt;"",V569+O570,V569)</f>
        <v/>
      </c>
    </row>
    <row r="571">
      <c r="A571" s="19" t="n"/>
      <c r="B571" s="20" t="n"/>
      <c r="C571" s="19" t="n"/>
      <c r="D571" s="19" t="n"/>
      <c r="E571" s="19" t="n"/>
      <c r="F571" s="21" t="n"/>
      <c r="G571" s="21" t="n"/>
      <c r="H571" s="21" t="n"/>
      <c r="I571" s="22" t="n"/>
      <c r="J571" s="21">
        <f>IFERROR(IF(AND(F571&lt;&gt;"",G571&lt;&gt;"",I571&lt;&gt;""),ABS(F571-G571)*I571,""),"")</f>
        <v/>
      </c>
      <c r="K571" s="23">
        <f>IFERROR(IF(AND(F571&lt;&gt;"",G571&lt;&gt;"",H571&lt;&gt;""),ABS(H571-F571)/ABS(F571-G571),""),"")</f>
        <v/>
      </c>
      <c r="L571" s="20" t="n"/>
      <c r="M571" s="21" t="n"/>
      <c r="N571" s="21" t="n"/>
      <c r="O571" s="24">
        <f>IFERROR(IF(AND(M571&lt;&gt;"",F571&lt;&gt;"",I571&lt;&gt;""),IF(D571="Long",(M571-F571)*I571-IF(N571&lt;&gt;"",N571,0),IF(D571="Short",(F571-M571)*I571-IF(N571&lt;&gt;"",N571,0),"")),""),"")</f>
        <v/>
      </c>
      <c r="P571" s="25">
        <f>IFERROR(IF(AND(O571&lt;&gt;"",F571&lt;&gt;"",I571&lt;&gt;""),O571/(F571*I571),""),"")</f>
        <v/>
      </c>
      <c r="Q571" s="26">
        <f>IFERROR(IF(AND(O571&lt;&gt;"",J571&lt;&gt;"",J571&lt;&gt;0),O571/J571,""),"")</f>
        <v/>
      </c>
      <c r="R571" s="27">
        <f>IFERROR(IF(AND(L571&lt;&gt;"",B571&lt;&gt;""),L571-B571,""),"")</f>
        <v/>
      </c>
      <c r="S571" s="19" t="n"/>
      <c r="T571" s="19" t="n"/>
      <c r="U571" s="17">
        <f>IF(O571&lt;&gt;"",570,"")</f>
        <v/>
      </c>
      <c r="V571" s="18">
        <f>IF(O571&lt;&gt;"",V570+O571,V570)</f>
        <v/>
      </c>
    </row>
    <row r="572">
      <c r="A572" s="8" t="n"/>
      <c r="B572" s="9" t="n"/>
      <c r="C572" s="8" t="n"/>
      <c r="D572" s="8" t="n"/>
      <c r="E572" s="8" t="n"/>
      <c r="F572" s="10" t="n"/>
      <c r="G572" s="10" t="n"/>
      <c r="H572" s="10" t="n"/>
      <c r="I572" s="11" t="n"/>
      <c r="J572" s="10">
        <f>IFERROR(IF(AND(F572&lt;&gt;"",G572&lt;&gt;"",I572&lt;&gt;""),ABS(F572-G572)*I572,""),"")</f>
        <v/>
      </c>
      <c r="K572" s="12">
        <f>IFERROR(IF(AND(F572&lt;&gt;"",G572&lt;&gt;"",H572&lt;&gt;""),ABS(H572-F572)/ABS(F572-G572),""),"")</f>
        <v/>
      </c>
      <c r="L572" s="9" t="n"/>
      <c r="M572" s="10" t="n"/>
      <c r="N572" s="10" t="n"/>
      <c r="O572" s="13">
        <f>IFERROR(IF(AND(M572&lt;&gt;"",F572&lt;&gt;"",I572&lt;&gt;""),IF(D572="Long",(M572-F572)*I572-IF(N572&lt;&gt;"",N572,0),IF(D572="Short",(F572-M572)*I572-IF(N572&lt;&gt;"",N572,0),"")),""),"")</f>
        <v/>
      </c>
      <c r="P572" s="14">
        <f>IFERROR(IF(AND(O572&lt;&gt;"",F572&lt;&gt;"",I572&lt;&gt;""),O572/(F572*I572),""),"")</f>
        <v/>
      </c>
      <c r="Q572" s="15">
        <f>IFERROR(IF(AND(O572&lt;&gt;"",J572&lt;&gt;"",J572&lt;&gt;0),O572/J572,""),"")</f>
        <v/>
      </c>
      <c r="R572" s="16">
        <f>IFERROR(IF(AND(L572&lt;&gt;"",B572&lt;&gt;""),L572-B572,""),"")</f>
        <v/>
      </c>
      <c r="S572" s="8" t="n"/>
      <c r="T572" s="8" t="n"/>
      <c r="U572" s="17">
        <f>IF(O572&lt;&gt;"",571,"")</f>
        <v/>
      </c>
      <c r="V572" s="18">
        <f>IF(O572&lt;&gt;"",V571+O572,V571)</f>
        <v/>
      </c>
    </row>
    <row r="573">
      <c r="A573" s="19" t="n"/>
      <c r="B573" s="20" t="n"/>
      <c r="C573" s="19" t="n"/>
      <c r="D573" s="19" t="n"/>
      <c r="E573" s="19" t="n"/>
      <c r="F573" s="21" t="n"/>
      <c r="G573" s="21" t="n"/>
      <c r="H573" s="21" t="n"/>
      <c r="I573" s="22" t="n"/>
      <c r="J573" s="21">
        <f>IFERROR(IF(AND(F573&lt;&gt;"",G573&lt;&gt;"",I573&lt;&gt;""),ABS(F573-G573)*I573,""),"")</f>
        <v/>
      </c>
      <c r="K573" s="23">
        <f>IFERROR(IF(AND(F573&lt;&gt;"",G573&lt;&gt;"",H573&lt;&gt;""),ABS(H573-F573)/ABS(F573-G573),""),"")</f>
        <v/>
      </c>
      <c r="L573" s="20" t="n"/>
      <c r="M573" s="21" t="n"/>
      <c r="N573" s="21" t="n"/>
      <c r="O573" s="24">
        <f>IFERROR(IF(AND(M573&lt;&gt;"",F573&lt;&gt;"",I573&lt;&gt;""),IF(D573="Long",(M573-F573)*I573-IF(N573&lt;&gt;"",N573,0),IF(D573="Short",(F573-M573)*I573-IF(N573&lt;&gt;"",N573,0),"")),""),"")</f>
        <v/>
      </c>
      <c r="P573" s="25">
        <f>IFERROR(IF(AND(O573&lt;&gt;"",F573&lt;&gt;"",I573&lt;&gt;""),O573/(F573*I573),""),"")</f>
        <v/>
      </c>
      <c r="Q573" s="26">
        <f>IFERROR(IF(AND(O573&lt;&gt;"",J573&lt;&gt;"",J573&lt;&gt;0),O573/J573,""),"")</f>
        <v/>
      </c>
      <c r="R573" s="27">
        <f>IFERROR(IF(AND(L573&lt;&gt;"",B573&lt;&gt;""),L573-B573,""),"")</f>
        <v/>
      </c>
      <c r="S573" s="19" t="n"/>
      <c r="T573" s="19" t="n"/>
      <c r="U573" s="17">
        <f>IF(O573&lt;&gt;"",572,"")</f>
        <v/>
      </c>
      <c r="V573" s="18">
        <f>IF(O573&lt;&gt;"",V572+O573,V572)</f>
        <v/>
      </c>
    </row>
    <row r="574">
      <c r="A574" s="8" t="n"/>
      <c r="B574" s="9" t="n"/>
      <c r="C574" s="8" t="n"/>
      <c r="D574" s="8" t="n"/>
      <c r="E574" s="8" t="n"/>
      <c r="F574" s="10" t="n"/>
      <c r="G574" s="10" t="n"/>
      <c r="H574" s="10" t="n"/>
      <c r="I574" s="11" t="n"/>
      <c r="J574" s="10">
        <f>IFERROR(IF(AND(F574&lt;&gt;"",G574&lt;&gt;"",I574&lt;&gt;""),ABS(F574-G574)*I574,""),"")</f>
        <v/>
      </c>
      <c r="K574" s="12">
        <f>IFERROR(IF(AND(F574&lt;&gt;"",G574&lt;&gt;"",H574&lt;&gt;""),ABS(H574-F574)/ABS(F574-G574),""),"")</f>
        <v/>
      </c>
      <c r="L574" s="9" t="n"/>
      <c r="M574" s="10" t="n"/>
      <c r="N574" s="10" t="n"/>
      <c r="O574" s="13">
        <f>IFERROR(IF(AND(M574&lt;&gt;"",F574&lt;&gt;"",I574&lt;&gt;""),IF(D574="Long",(M574-F574)*I574-IF(N574&lt;&gt;"",N574,0),IF(D574="Short",(F574-M574)*I574-IF(N574&lt;&gt;"",N574,0),"")),""),"")</f>
        <v/>
      </c>
      <c r="P574" s="14">
        <f>IFERROR(IF(AND(O574&lt;&gt;"",F574&lt;&gt;"",I574&lt;&gt;""),O574/(F574*I574),""),"")</f>
        <v/>
      </c>
      <c r="Q574" s="15">
        <f>IFERROR(IF(AND(O574&lt;&gt;"",J574&lt;&gt;"",J574&lt;&gt;0),O574/J574,""),"")</f>
        <v/>
      </c>
      <c r="R574" s="16">
        <f>IFERROR(IF(AND(L574&lt;&gt;"",B574&lt;&gt;""),L574-B574,""),"")</f>
        <v/>
      </c>
      <c r="S574" s="8" t="n"/>
      <c r="T574" s="8" t="n"/>
      <c r="U574" s="17">
        <f>IF(O574&lt;&gt;"",573,"")</f>
        <v/>
      </c>
      <c r="V574" s="18">
        <f>IF(O574&lt;&gt;"",V573+O574,V573)</f>
        <v/>
      </c>
    </row>
    <row r="575">
      <c r="A575" s="19" t="n"/>
      <c r="B575" s="20" t="n"/>
      <c r="C575" s="19" t="n"/>
      <c r="D575" s="19" t="n"/>
      <c r="E575" s="19" t="n"/>
      <c r="F575" s="21" t="n"/>
      <c r="G575" s="21" t="n"/>
      <c r="H575" s="21" t="n"/>
      <c r="I575" s="22" t="n"/>
      <c r="J575" s="21">
        <f>IFERROR(IF(AND(F575&lt;&gt;"",G575&lt;&gt;"",I575&lt;&gt;""),ABS(F575-G575)*I575,""),"")</f>
        <v/>
      </c>
      <c r="K575" s="23">
        <f>IFERROR(IF(AND(F575&lt;&gt;"",G575&lt;&gt;"",H575&lt;&gt;""),ABS(H575-F575)/ABS(F575-G575),""),"")</f>
        <v/>
      </c>
      <c r="L575" s="20" t="n"/>
      <c r="M575" s="21" t="n"/>
      <c r="N575" s="21" t="n"/>
      <c r="O575" s="24">
        <f>IFERROR(IF(AND(M575&lt;&gt;"",F575&lt;&gt;"",I575&lt;&gt;""),IF(D575="Long",(M575-F575)*I575-IF(N575&lt;&gt;"",N575,0),IF(D575="Short",(F575-M575)*I575-IF(N575&lt;&gt;"",N575,0),"")),""),"")</f>
        <v/>
      </c>
      <c r="P575" s="25">
        <f>IFERROR(IF(AND(O575&lt;&gt;"",F575&lt;&gt;"",I575&lt;&gt;""),O575/(F575*I575),""),"")</f>
        <v/>
      </c>
      <c r="Q575" s="26">
        <f>IFERROR(IF(AND(O575&lt;&gt;"",J575&lt;&gt;"",J575&lt;&gt;0),O575/J575,""),"")</f>
        <v/>
      </c>
      <c r="R575" s="27">
        <f>IFERROR(IF(AND(L575&lt;&gt;"",B575&lt;&gt;""),L575-B575,""),"")</f>
        <v/>
      </c>
      <c r="S575" s="19" t="n"/>
      <c r="T575" s="19" t="n"/>
      <c r="U575" s="17">
        <f>IF(O575&lt;&gt;"",574,"")</f>
        <v/>
      </c>
      <c r="V575" s="18">
        <f>IF(O575&lt;&gt;"",V574+O575,V574)</f>
        <v/>
      </c>
    </row>
    <row r="576">
      <c r="A576" s="8" t="n"/>
      <c r="B576" s="9" t="n"/>
      <c r="C576" s="8" t="n"/>
      <c r="D576" s="8" t="n"/>
      <c r="E576" s="8" t="n"/>
      <c r="F576" s="10" t="n"/>
      <c r="G576" s="10" t="n"/>
      <c r="H576" s="10" t="n"/>
      <c r="I576" s="11" t="n"/>
      <c r="J576" s="10">
        <f>IFERROR(IF(AND(F576&lt;&gt;"",G576&lt;&gt;"",I576&lt;&gt;""),ABS(F576-G576)*I576,""),"")</f>
        <v/>
      </c>
      <c r="K576" s="12">
        <f>IFERROR(IF(AND(F576&lt;&gt;"",G576&lt;&gt;"",H576&lt;&gt;""),ABS(H576-F576)/ABS(F576-G576),""),"")</f>
        <v/>
      </c>
      <c r="L576" s="9" t="n"/>
      <c r="M576" s="10" t="n"/>
      <c r="N576" s="10" t="n"/>
      <c r="O576" s="13">
        <f>IFERROR(IF(AND(M576&lt;&gt;"",F576&lt;&gt;"",I576&lt;&gt;""),IF(D576="Long",(M576-F576)*I576-IF(N576&lt;&gt;"",N576,0),IF(D576="Short",(F576-M576)*I576-IF(N576&lt;&gt;"",N576,0),"")),""),"")</f>
        <v/>
      </c>
      <c r="P576" s="14">
        <f>IFERROR(IF(AND(O576&lt;&gt;"",F576&lt;&gt;"",I576&lt;&gt;""),O576/(F576*I576),""),"")</f>
        <v/>
      </c>
      <c r="Q576" s="15">
        <f>IFERROR(IF(AND(O576&lt;&gt;"",J576&lt;&gt;"",J576&lt;&gt;0),O576/J576,""),"")</f>
        <v/>
      </c>
      <c r="R576" s="16">
        <f>IFERROR(IF(AND(L576&lt;&gt;"",B576&lt;&gt;""),L576-B576,""),"")</f>
        <v/>
      </c>
      <c r="S576" s="8" t="n"/>
      <c r="T576" s="8" t="n"/>
      <c r="U576" s="17">
        <f>IF(O576&lt;&gt;"",575,"")</f>
        <v/>
      </c>
      <c r="V576" s="18">
        <f>IF(O576&lt;&gt;"",V575+O576,V575)</f>
        <v/>
      </c>
    </row>
    <row r="577">
      <c r="A577" s="19" t="n"/>
      <c r="B577" s="20" t="n"/>
      <c r="C577" s="19" t="n"/>
      <c r="D577" s="19" t="n"/>
      <c r="E577" s="19" t="n"/>
      <c r="F577" s="21" t="n"/>
      <c r="G577" s="21" t="n"/>
      <c r="H577" s="21" t="n"/>
      <c r="I577" s="22" t="n"/>
      <c r="J577" s="21">
        <f>IFERROR(IF(AND(F577&lt;&gt;"",G577&lt;&gt;"",I577&lt;&gt;""),ABS(F577-G577)*I577,""),"")</f>
        <v/>
      </c>
      <c r="K577" s="23">
        <f>IFERROR(IF(AND(F577&lt;&gt;"",G577&lt;&gt;"",H577&lt;&gt;""),ABS(H577-F577)/ABS(F577-G577),""),"")</f>
        <v/>
      </c>
      <c r="L577" s="20" t="n"/>
      <c r="M577" s="21" t="n"/>
      <c r="N577" s="21" t="n"/>
      <c r="O577" s="24">
        <f>IFERROR(IF(AND(M577&lt;&gt;"",F577&lt;&gt;"",I577&lt;&gt;""),IF(D577="Long",(M577-F577)*I577-IF(N577&lt;&gt;"",N577,0),IF(D577="Short",(F577-M577)*I577-IF(N577&lt;&gt;"",N577,0),"")),""),"")</f>
        <v/>
      </c>
      <c r="P577" s="25">
        <f>IFERROR(IF(AND(O577&lt;&gt;"",F577&lt;&gt;"",I577&lt;&gt;""),O577/(F577*I577),""),"")</f>
        <v/>
      </c>
      <c r="Q577" s="26">
        <f>IFERROR(IF(AND(O577&lt;&gt;"",J577&lt;&gt;"",J577&lt;&gt;0),O577/J577,""),"")</f>
        <v/>
      </c>
      <c r="R577" s="27">
        <f>IFERROR(IF(AND(L577&lt;&gt;"",B577&lt;&gt;""),L577-B577,""),"")</f>
        <v/>
      </c>
      <c r="S577" s="19" t="n"/>
      <c r="T577" s="19" t="n"/>
      <c r="U577" s="17">
        <f>IF(O577&lt;&gt;"",576,"")</f>
        <v/>
      </c>
      <c r="V577" s="18">
        <f>IF(O577&lt;&gt;"",V576+O577,V576)</f>
        <v/>
      </c>
    </row>
    <row r="578">
      <c r="A578" s="8" t="n"/>
      <c r="B578" s="9" t="n"/>
      <c r="C578" s="8" t="n"/>
      <c r="D578" s="8" t="n"/>
      <c r="E578" s="8" t="n"/>
      <c r="F578" s="10" t="n"/>
      <c r="G578" s="10" t="n"/>
      <c r="H578" s="10" t="n"/>
      <c r="I578" s="11" t="n"/>
      <c r="J578" s="10">
        <f>IFERROR(IF(AND(F578&lt;&gt;"",G578&lt;&gt;"",I578&lt;&gt;""),ABS(F578-G578)*I578,""),"")</f>
        <v/>
      </c>
      <c r="K578" s="12">
        <f>IFERROR(IF(AND(F578&lt;&gt;"",G578&lt;&gt;"",H578&lt;&gt;""),ABS(H578-F578)/ABS(F578-G578),""),"")</f>
        <v/>
      </c>
      <c r="L578" s="9" t="n"/>
      <c r="M578" s="10" t="n"/>
      <c r="N578" s="10" t="n"/>
      <c r="O578" s="13">
        <f>IFERROR(IF(AND(M578&lt;&gt;"",F578&lt;&gt;"",I578&lt;&gt;""),IF(D578="Long",(M578-F578)*I578-IF(N578&lt;&gt;"",N578,0),IF(D578="Short",(F578-M578)*I578-IF(N578&lt;&gt;"",N578,0),"")),""),"")</f>
        <v/>
      </c>
      <c r="P578" s="14">
        <f>IFERROR(IF(AND(O578&lt;&gt;"",F578&lt;&gt;"",I578&lt;&gt;""),O578/(F578*I578),""),"")</f>
        <v/>
      </c>
      <c r="Q578" s="15">
        <f>IFERROR(IF(AND(O578&lt;&gt;"",J578&lt;&gt;"",J578&lt;&gt;0),O578/J578,""),"")</f>
        <v/>
      </c>
      <c r="R578" s="16">
        <f>IFERROR(IF(AND(L578&lt;&gt;"",B578&lt;&gt;""),L578-B578,""),"")</f>
        <v/>
      </c>
      <c r="S578" s="8" t="n"/>
      <c r="T578" s="8" t="n"/>
      <c r="U578" s="17">
        <f>IF(O578&lt;&gt;"",577,"")</f>
        <v/>
      </c>
      <c r="V578" s="18">
        <f>IF(O578&lt;&gt;"",V577+O578,V577)</f>
        <v/>
      </c>
    </row>
    <row r="579">
      <c r="A579" s="19" t="n"/>
      <c r="B579" s="20" t="n"/>
      <c r="C579" s="19" t="n"/>
      <c r="D579" s="19" t="n"/>
      <c r="E579" s="19" t="n"/>
      <c r="F579" s="21" t="n"/>
      <c r="G579" s="21" t="n"/>
      <c r="H579" s="21" t="n"/>
      <c r="I579" s="22" t="n"/>
      <c r="J579" s="21">
        <f>IFERROR(IF(AND(F579&lt;&gt;"",G579&lt;&gt;"",I579&lt;&gt;""),ABS(F579-G579)*I579,""),"")</f>
        <v/>
      </c>
      <c r="K579" s="23">
        <f>IFERROR(IF(AND(F579&lt;&gt;"",G579&lt;&gt;"",H579&lt;&gt;""),ABS(H579-F579)/ABS(F579-G579),""),"")</f>
        <v/>
      </c>
      <c r="L579" s="20" t="n"/>
      <c r="M579" s="21" t="n"/>
      <c r="N579" s="21" t="n"/>
      <c r="O579" s="24">
        <f>IFERROR(IF(AND(M579&lt;&gt;"",F579&lt;&gt;"",I579&lt;&gt;""),IF(D579="Long",(M579-F579)*I579-IF(N579&lt;&gt;"",N579,0),IF(D579="Short",(F579-M579)*I579-IF(N579&lt;&gt;"",N579,0),"")),""),"")</f>
        <v/>
      </c>
      <c r="P579" s="25">
        <f>IFERROR(IF(AND(O579&lt;&gt;"",F579&lt;&gt;"",I579&lt;&gt;""),O579/(F579*I579),""),"")</f>
        <v/>
      </c>
      <c r="Q579" s="26">
        <f>IFERROR(IF(AND(O579&lt;&gt;"",J579&lt;&gt;"",J579&lt;&gt;0),O579/J579,""),"")</f>
        <v/>
      </c>
      <c r="R579" s="27">
        <f>IFERROR(IF(AND(L579&lt;&gt;"",B579&lt;&gt;""),L579-B579,""),"")</f>
        <v/>
      </c>
      <c r="S579" s="19" t="n"/>
      <c r="T579" s="19" t="n"/>
      <c r="U579" s="17">
        <f>IF(O579&lt;&gt;"",578,"")</f>
        <v/>
      </c>
      <c r="V579" s="18">
        <f>IF(O579&lt;&gt;"",V578+O579,V578)</f>
        <v/>
      </c>
    </row>
    <row r="580">
      <c r="A580" s="8" t="n"/>
      <c r="B580" s="9" t="n"/>
      <c r="C580" s="8" t="n"/>
      <c r="D580" s="8" t="n"/>
      <c r="E580" s="8" t="n"/>
      <c r="F580" s="10" t="n"/>
      <c r="G580" s="10" t="n"/>
      <c r="H580" s="10" t="n"/>
      <c r="I580" s="11" t="n"/>
      <c r="J580" s="10">
        <f>IFERROR(IF(AND(F580&lt;&gt;"",G580&lt;&gt;"",I580&lt;&gt;""),ABS(F580-G580)*I580,""),"")</f>
        <v/>
      </c>
      <c r="K580" s="12">
        <f>IFERROR(IF(AND(F580&lt;&gt;"",G580&lt;&gt;"",H580&lt;&gt;""),ABS(H580-F580)/ABS(F580-G580),""),"")</f>
        <v/>
      </c>
      <c r="L580" s="9" t="n"/>
      <c r="M580" s="10" t="n"/>
      <c r="N580" s="10" t="n"/>
      <c r="O580" s="13">
        <f>IFERROR(IF(AND(M580&lt;&gt;"",F580&lt;&gt;"",I580&lt;&gt;""),IF(D580="Long",(M580-F580)*I580-IF(N580&lt;&gt;"",N580,0),IF(D580="Short",(F580-M580)*I580-IF(N580&lt;&gt;"",N580,0),"")),""),"")</f>
        <v/>
      </c>
      <c r="P580" s="14">
        <f>IFERROR(IF(AND(O580&lt;&gt;"",F580&lt;&gt;"",I580&lt;&gt;""),O580/(F580*I580),""),"")</f>
        <v/>
      </c>
      <c r="Q580" s="15">
        <f>IFERROR(IF(AND(O580&lt;&gt;"",J580&lt;&gt;"",J580&lt;&gt;0),O580/J580,""),"")</f>
        <v/>
      </c>
      <c r="R580" s="16">
        <f>IFERROR(IF(AND(L580&lt;&gt;"",B580&lt;&gt;""),L580-B580,""),"")</f>
        <v/>
      </c>
      <c r="S580" s="8" t="n"/>
      <c r="T580" s="8" t="n"/>
      <c r="U580" s="17">
        <f>IF(O580&lt;&gt;"",579,"")</f>
        <v/>
      </c>
      <c r="V580" s="18">
        <f>IF(O580&lt;&gt;"",V579+O580,V579)</f>
        <v/>
      </c>
    </row>
    <row r="581">
      <c r="A581" s="19" t="n"/>
      <c r="B581" s="20" t="n"/>
      <c r="C581" s="19" t="n"/>
      <c r="D581" s="19" t="n"/>
      <c r="E581" s="19" t="n"/>
      <c r="F581" s="21" t="n"/>
      <c r="G581" s="21" t="n"/>
      <c r="H581" s="21" t="n"/>
      <c r="I581" s="22" t="n"/>
      <c r="J581" s="21">
        <f>IFERROR(IF(AND(F581&lt;&gt;"",G581&lt;&gt;"",I581&lt;&gt;""),ABS(F581-G581)*I581,""),"")</f>
        <v/>
      </c>
      <c r="K581" s="23">
        <f>IFERROR(IF(AND(F581&lt;&gt;"",G581&lt;&gt;"",H581&lt;&gt;""),ABS(H581-F581)/ABS(F581-G581),""),"")</f>
        <v/>
      </c>
      <c r="L581" s="20" t="n"/>
      <c r="M581" s="21" t="n"/>
      <c r="N581" s="21" t="n"/>
      <c r="O581" s="24">
        <f>IFERROR(IF(AND(M581&lt;&gt;"",F581&lt;&gt;"",I581&lt;&gt;""),IF(D581="Long",(M581-F581)*I581-IF(N581&lt;&gt;"",N581,0),IF(D581="Short",(F581-M581)*I581-IF(N581&lt;&gt;"",N581,0),"")),""),"")</f>
        <v/>
      </c>
      <c r="P581" s="25">
        <f>IFERROR(IF(AND(O581&lt;&gt;"",F581&lt;&gt;"",I581&lt;&gt;""),O581/(F581*I581),""),"")</f>
        <v/>
      </c>
      <c r="Q581" s="26">
        <f>IFERROR(IF(AND(O581&lt;&gt;"",J581&lt;&gt;"",J581&lt;&gt;0),O581/J581,""),"")</f>
        <v/>
      </c>
      <c r="R581" s="27">
        <f>IFERROR(IF(AND(L581&lt;&gt;"",B581&lt;&gt;""),L581-B581,""),"")</f>
        <v/>
      </c>
      <c r="S581" s="19" t="n"/>
      <c r="T581" s="19" t="n"/>
      <c r="U581" s="17">
        <f>IF(O581&lt;&gt;"",580,"")</f>
        <v/>
      </c>
      <c r="V581" s="18">
        <f>IF(O581&lt;&gt;"",V580+O581,V580)</f>
        <v/>
      </c>
    </row>
    <row r="582">
      <c r="A582" s="8" t="n"/>
      <c r="B582" s="9" t="n"/>
      <c r="C582" s="8" t="n"/>
      <c r="D582" s="8" t="n"/>
      <c r="E582" s="8" t="n"/>
      <c r="F582" s="10" t="n"/>
      <c r="G582" s="10" t="n"/>
      <c r="H582" s="10" t="n"/>
      <c r="I582" s="11" t="n"/>
      <c r="J582" s="10">
        <f>IFERROR(IF(AND(F582&lt;&gt;"",G582&lt;&gt;"",I582&lt;&gt;""),ABS(F582-G582)*I582,""),"")</f>
        <v/>
      </c>
      <c r="K582" s="12">
        <f>IFERROR(IF(AND(F582&lt;&gt;"",G582&lt;&gt;"",H582&lt;&gt;""),ABS(H582-F582)/ABS(F582-G582),""),"")</f>
        <v/>
      </c>
      <c r="L582" s="9" t="n"/>
      <c r="M582" s="10" t="n"/>
      <c r="N582" s="10" t="n"/>
      <c r="O582" s="13">
        <f>IFERROR(IF(AND(M582&lt;&gt;"",F582&lt;&gt;"",I582&lt;&gt;""),IF(D582="Long",(M582-F582)*I582-IF(N582&lt;&gt;"",N582,0),IF(D582="Short",(F582-M582)*I582-IF(N582&lt;&gt;"",N582,0),"")),""),"")</f>
        <v/>
      </c>
      <c r="P582" s="14">
        <f>IFERROR(IF(AND(O582&lt;&gt;"",F582&lt;&gt;"",I582&lt;&gt;""),O582/(F582*I582),""),"")</f>
        <v/>
      </c>
      <c r="Q582" s="15">
        <f>IFERROR(IF(AND(O582&lt;&gt;"",J582&lt;&gt;"",J582&lt;&gt;0),O582/J582,""),"")</f>
        <v/>
      </c>
      <c r="R582" s="16">
        <f>IFERROR(IF(AND(L582&lt;&gt;"",B582&lt;&gt;""),L582-B582,""),"")</f>
        <v/>
      </c>
      <c r="S582" s="8" t="n"/>
      <c r="T582" s="8" t="n"/>
      <c r="U582" s="17">
        <f>IF(O582&lt;&gt;"",581,"")</f>
        <v/>
      </c>
      <c r="V582" s="18">
        <f>IF(O582&lt;&gt;"",V581+O582,V581)</f>
        <v/>
      </c>
    </row>
    <row r="583">
      <c r="A583" s="19" t="n"/>
      <c r="B583" s="20" t="n"/>
      <c r="C583" s="19" t="n"/>
      <c r="D583" s="19" t="n"/>
      <c r="E583" s="19" t="n"/>
      <c r="F583" s="21" t="n"/>
      <c r="G583" s="21" t="n"/>
      <c r="H583" s="21" t="n"/>
      <c r="I583" s="22" t="n"/>
      <c r="J583" s="21">
        <f>IFERROR(IF(AND(F583&lt;&gt;"",G583&lt;&gt;"",I583&lt;&gt;""),ABS(F583-G583)*I583,""),"")</f>
        <v/>
      </c>
      <c r="K583" s="23">
        <f>IFERROR(IF(AND(F583&lt;&gt;"",G583&lt;&gt;"",H583&lt;&gt;""),ABS(H583-F583)/ABS(F583-G583),""),"")</f>
        <v/>
      </c>
      <c r="L583" s="20" t="n"/>
      <c r="M583" s="21" t="n"/>
      <c r="N583" s="21" t="n"/>
      <c r="O583" s="24">
        <f>IFERROR(IF(AND(M583&lt;&gt;"",F583&lt;&gt;"",I583&lt;&gt;""),IF(D583="Long",(M583-F583)*I583-IF(N583&lt;&gt;"",N583,0),IF(D583="Short",(F583-M583)*I583-IF(N583&lt;&gt;"",N583,0),"")),""),"")</f>
        <v/>
      </c>
      <c r="P583" s="25">
        <f>IFERROR(IF(AND(O583&lt;&gt;"",F583&lt;&gt;"",I583&lt;&gt;""),O583/(F583*I583),""),"")</f>
        <v/>
      </c>
      <c r="Q583" s="26">
        <f>IFERROR(IF(AND(O583&lt;&gt;"",J583&lt;&gt;"",J583&lt;&gt;0),O583/J583,""),"")</f>
        <v/>
      </c>
      <c r="R583" s="27">
        <f>IFERROR(IF(AND(L583&lt;&gt;"",B583&lt;&gt;""),L583-B583,""),"")</f>
        <v/>
      </c>
      <c r="S583" s="19" t="n"/>
      <c r="T583" s="19" t="n"/>
      <c r="U583" s="17">
        <f>IF(O583&lt;&gt;"",582,"")</f>
        <v/>
      </c>
      <c r="V583" s="18">
        <f>IF(O583&lt;&gt;"",V582+O583,V582)</f>
        <v/>
      </c>
    </row>
    <row r="584">
      <c r="A584" s="8" t="n"/>
      <c r="B584" s="9" t="n"/>
      <c r="C584" s="8" t="n"/>
      <c r="D584" s="8" t="n"/>
      <c r="E584" s="8" t="n"/>
      <c r="F584" s="10" t="n"/>
      <c r="G584" s="10" t="n"/>
      <c r="H584" s="10" t="n"/>
      <c r="I584" s="11" t="n"/>
      <c r="J584" s="10">
        <f>IFERROR(IF(AND(F584&lt;&gt;"",G584&lt;&gt;"",I584&lt;&gt;""),ABS(F584-G584)*I584,""),"")</f>
        <v/>
      </c>
      <c r="K584" s="12">
        <f>IFERROR(IF(AND(F584&lt;&gt;"",G584&lt;&gt;"",H584&lt;&gt;""),ABS(H584-F584)/ABS(F584-G584),""),"")</f>
        <v/>
      </c>
      <c r="L584" s="9" t="n"/>
      <c r="M584" s="10" t="n"/>
      <c r="N584" s="10" t="n"/>
      <c r="O584" s="13">
        <f>IFERROR(IF(AND(M584&lt;&gt;"",F584&lt;&gt;"",I584&lt;&gt;""),IF(D584="Long",(M584-F584)*I584-IF(N584&lt;&gt;"",N584,0),IF(D584="Short",(F584-M584)*I584-IF(N584&lt;&gt;"",N584,0),"")),""),"")</f>
        <v/>
      </c>
      <c r="P584" s="14">
        <f>IFERROR(IF(AND(O584&lt;&gt;"",F584&lt;&gt;"",I584&lt;&gt;""),O584/(F584*I584),""),"")</f>
        <v/>
      </c>
      <c r="Q584" s="15">
        <f>IFERROR(IF(AND(O584&lt;&gt;"",J584&lt;&gt;"",J584&lt;&gt;0),O584/J584,""),"")</f>
        <v/>
      </c>
      <c r="R584" s="16">
        <f>IFERROR(IF(AND(L584&lt;&gt;"",B584&lt;&gt;""),L584-B584,""),"")</f>
        <v/>
      </c>
      <c r="S584" s="8" t="n"/>
      <c r="T584" s="8" t="n"/>
      <c r="U584" s="17">
        <f>IF(O584&lt;&gt;"",583,"")</f>
        <v/>
      </c>
      <c r="V584" s="18">
        <f>IF(O584&lt;&gt;"",V583+O584,V583)</f>
        <v/>
      </c>
    </row>
    <row r="585">
      <c r="A585" s="19" t="n"/>
      <c r="B585" s="20" t="n"/>
      <c r="C585" s="19" t="n"/>
      <c r="D585" s="19" t="n"/>
      <c r="E585" s="19" t="n"/>
      <c r="F585" s="21" t="n"/>
      <c r="G585" s="21" t="n"/>
      <c r="H585" s="21" t="n"/>
      <c r="I585" s="22" t="n"/>
      <c r="J585" s="21">
        <f>IFERROR(IF(AND(F585&lt;&gt;"",G585&lt;&gt;"",I585&lt;&gt;""),ABS(F585-G585)*I585,""),"")</f>
        <v/>
      </c>
      <c r="K585" s="23">
        <f>IFERROR(IF(AND(F585&lt;&gt;"",G585&lt;&gt;"",H585&lt;&gt;""),ABS(H585-F585)/ABS(F585-G585),""),"")</f>
        <v/>
      </c>
      <c r="L585" s="20" t="n"/>
      <c r="M585" s="21" t="n"/>
      <c r="N585" s="21" t="n"/>
      <c r="O585" s="24">
        <f>IFERROR(IF(AND(M585&lt;&gt;"",F585&lt;&gt;"",I585&lt;&gt;""),IF(D585="Long",(M585-F585)*I585-IF(N585&lt;&gt;"",N585,0),IF(D585="Short",(F585-M585)*I585-IF(N585&lt;&gt;"",N585,0),"")),""),"")</f>
        <v/>
      </c>
      <c r="P585" s="25">
        <f>IFERROR(IF(AND(O585&lt;&gt;"",F585&lt;&gt;"",I585&lt;&gt;""),O585/(F585*I585),""),"")</f>
        <v/>
      </c>
      <c r="Q585" s="26">
        <f>IFERROR(IF(AND(O585&lt;&gt;"",J585&lt;&gt;"",J585&lt;&gt;0),O585/J585,""),"")</f>
        <v/>
      </c>
      <c r="R585" s="27">
        <f>IFERROR(IF(AND(L585&lt;&gt;"",B585&lt;&gt;""),L585-B585,""),"")</f>
        <v/>
      </c>
      <c r="S585" s="19" t="n"/>
      <c r="T585" s="19" t="n"/>
      <c r="U585" s="17">
        <f>IF(O585&lt;&gt;"",584,"")</f>
        <v/>
      </c>
      <c r="V585" s="18">
        <f>IF(O585&lt;&gt;"",V584+O585,V584)</f>
        <v/>
      </c>
    </row>
    <row r="586">
      <c r="A586" s="8" t="n"/>
      <c r="B586" s="9" t="n"/>
      <c r="C586" s="8" t="n"/>
      <c r="D586" s="8" t="n"/>
      <c r="E586" s="8" t="n"/>
      <c r="F586" s="10" t="n"/>
      <c r="G586" s="10" t="n"/>
      <c r="H586" s="10" t="n"/>
      <c r="I586" s="11" t="n"/>
      <c r="J586" s="10">
        <f>IFERROR(IF(AND(F586&lt;&gt;"",G586&lt;&gt;"",I586&lt;&gt;""),ABS(F586-G586)*I586,""),"")</f>
        <v/>
      </c>
      <c r="K586" s="12">
        <f>IFERROR(IF(AND(F586&lt;&gt;"",G586&lt;&gt;"",H586&lt;&gt;""),ABS(H586-F586)/ABS(F586-G586),""),"")</f>
        <v/>
      </c>
      <c r="L586" s="9" t="n"/>
      <c r="M586" s="10" t="n"/>
      <c r="N586" s="10" t="n"/>
      <c r="O586" s="13">
        <f>IFERROR(IF(AND(M586&lt;&gt;"",F586&lt;&gt;"",I586&lt;&gt;""),IF(D586="Long",(M586-F586)*I586-IF(N586&lt;&gt;"",N586,0),IF(D586="Short",(F586-M586)*I586-IF(N586&lt;&gt;"",N586,0),"")),""),"")</f>
        <v/>
      </c>
      <c r="P586" s="14">
        <f>IFERROR(IF(AND(O586&lt;&gt;"",F586&lt;&gt;"",I586&lt;&gt;""),O586/(F586*I586),""),"")</f>
        <v/>
      </c>
      <c r="Q586" s="15">
        <f>IFERROR(IF(AND(O586&lt;&gt;"",J586&lt;&gt;"",J586&lt;&gt;0),O586/J586,""),"")</f>
        <v/>
      </c>
      <c r="R586" s="16">
        <f>IFERROR(IF(AND(L586&lt;&gt;"",B586&lt;&gt;""),L586-B586,""),"")</f>
        <v/>
      </c>
      <c r="S586" s="8" t="n"/>
      <c r="T586" s="8" t="n"/>
      <c r="U586" s="17">
        <f>IF(O586&lt;&gt;"",585,"")</f>
        <v/>
      </c>
      <c r="V586" s="18">
        <f>IF(O586&lt;&gt;"",V585+O586,V585)</f>
        <v/>
      </c>
    </row>
    <row r="587">
      <c r="A587" s="19" t="n"/>
      <c r="B587" s="20" t="n"/>
      <c r="C587" s="19" t="n"/>
      <c r="D587" s="19" t="n"/>
      <c r="E587" s="19" t="n"/>
      <c r="F587" s="21" t="n"/>
      <c r="G587" s="21" t="n"/>
      <c r="H587" s="21" t="n"/>
      <c r="I587" s="22" t="n"/>
      <c r="J587" s="21">
        <f>IFERROR(IF(AND(F587&lt;&gt;"",G587&lt;&gt;"",I587&lt;&gt;""),ABS(F587-G587)*I587,""),"")</f>
        <v/>
      </c>
      <c r="K587" s="23">
        <f>IFERROR(IF(AND(F587&lt;&gt;"",G587&lt;&gt;"",H587&lt;&gt;""),ABS(H587-F587)/ABS(F587-G587),""),"")</f>
        <v/>
      </c>
      <c r="L587" s="20" t="n"/>
      <c r="M587" s="21" t="n"/>
      <c r="N587" s="21" t="n"/>
      <c r="O587" s="24">
        <f>IFERROR(IF(AND(M587&lt;&gt;"",F587&lt;&gt;"",I587&lt;&gt;""),IF(D587="Long",(M587-F587)*I587-IF(N587&lt;&gt;"",N587,0),IF(D587="Short",(F587-M587)*I587-IF(N587&lt;&gt;"",N587,0),"")),""),"")</f>
        <v/>
      </c>
      <c r="P587" s="25">
        <f>IFERROR(IF(AND(O587&lt;&gt;"",F587&lt;&gt;"",I587&lt;&gt;""),O587/(F587*I587),""),"")</f>
        <v/>
      </c>
      <c r="Q587" s="26">
        <f>IFERROR(IF(AND(O587&lt;&gt;"",J587&lt;&gt;"",J587&lt;&gt;0),O587/J587,""),"")</f>
        <v/>
      </c>
      <c r="R587" s="27">
        <f>IFERROR(IF(AND(L587&lt;&gt;"",B587&lt;&gt;""),L587-B587,""),"")</f>
        <v/>
      </c>
      <c r="S587" s="19" t="n"/>
      <c r="T587" s="19" t="n"/>
      <c r="U587" s="17">
        <f>IF(O587&lt;&gt;"",586,"")</f>
        <v/>
      </c>
      <c r="V587" s="18">
        <f>IF(O587&lt;&gt;"",V586+O587,V586)</f>
        <v/>
      </c>
    </row>
    <row r="588">
      <c r="A588" s="8" t="n"/>
      <c r="B588" s="9" t="n"/>
      <c r="C588" s="8" t="n"/>
      <c r="D588" s="8" t="n"/>
      <c r="E588" s="8" t="n"/>
      <c r="F588" s="10" t="n"/>
      <c r="G588" s="10" t="n"/>
      <c r="H588" s="10" t="n"/>
      <c r="I588" s="11" t="n"/>
      <c r="J588" s="10">
        <f>IFERROR(IF(AND(F588&lt;&gt;"",G588&lt;&gt;"",I588&lt;&gt;""),ABS(F588-G588)*I588,""),"")</f>
        <v/>
      </c>
      <c r="K588" s="12">
        <f>IFERROR(IF(AND(F588&lt;&gt;"",G588&lt;&gt;"",H588&lt;&gt;""),ABS(H588-F588)/ABS(F588-G588),""),"")</f>
        <v/>
      </c>
      <c r="L588" s="9" t="n"/>
      <c r="M588" s="10" t="n"/>
      <c r="N588" s="10" t="n"/>
      <c r="O588" s="13">
        <f>IFERROR(IF(AND(M588&lt;&gt;"",F588&lt;&gt;"",I588&lt;&gt;""),IF(D588="Long",(M588-F588)*I588-IF(N588&lt;&gt;"",N588,0),IF(D588="Short",(F588-M588)*I588-IF(N588&lt;&gt;"",N588,0),"")),""),"")</f>
        <v/>
      </c>
      <c r="P588" s="14">
        <f>IFERROR(IF(AND(O588&lt;&gt;"",F588&lt;&gt;"",I588&lt;&gt;""),O588/(F588*I588),""),"")</f>
        <v/>
      </c>
      <c r="Q588" s="15">
        <f>IFERROR(IF(AND(O588&lt;&gt;"",J588&lt;&gt;"",J588&lt;&gt;0),O588/J588,""),"")</f>
        <v/>
      </c>
      <c r="R588" s="16">
        <f>IFERROR(IF(AND(L588&lt;&gt;"",B588&lt;&gt;""),L588-B588,""),"")</f>
        <v/>
      </c>
      <c r="S588" s="8" t="n"/>
      <c r="T588" s="8" t="n"/>
      <c r="U588" s="17">
        <f>IF(O588&lt;&gt;"",587,"")</f>
        <v/>
      </c>
      <c r="V588" s="18">
        <f>IF(O588&lt;&gt;"",V587+O588,V587)</f>
        <v/>
      </c>
    </row>
    <row r="589">
      <c r="A589" s="19" t="n"/>
      <c r="B589" s="20" t="n"/>
      <c r="C589" s="19" t="n"/>
      <c r="D589" s="19" t="n"/>
      <c r="E589" s="19" t="n"/>
      <c r="F589" s="21" t="n"/>
      <c r="G589" s="21" t="n"/>
      <c r="H589" s="21" t="n"/>
      <c r="I589" s="22" t="n"/>
      <c r="J589" s="21">
        <f>IFERROR(IF(AND(F589&lt;&gt;"",G589&lt;&gt;"",I589&lt;&gt;""),ABS(F589-G589)*I589,""),"")</f>
        <v/>
      </c>
      <c r="K589" s="23">
        <f>IFERROR(IF(AND(F589&lt;&gt;"",G589&lt;&gt;"",H589&lt;&gt;""),ABS(H589-F589)/ABS(F589-G589),""),"")</f>
        <v/>
      </c>
      <c r="L589" s="20" t="n"/>
      <c r="M589" s="21" t="n"/>
      <c r="N589" s="21" t="n"/>
      <c r="O589" s="24">
        <f>IFERROR(IF(AND(M589&lt;&gt;"",F589&lt;&gt;"",I589&lt;&gt;""),IF(D589="Long",(M589-F589)*I589-IF(N589&lt;&gt;"",N589,0),IF(D589="Short",(F589-M589)*I589-IF(N589&lt;&gt;"",N589,0),"")),""),"")</f>
        <v/>
      </c>
      <c r="P589" s="25">
        <f>IFERROR(IF(AND(O589&lt;&gt;"",F589&lt;&gt;"",I589&lt;&gt;""),O589/(F589*I589),""),"")</f>
        <v/>
      </c>
      <c r="Q589" s="26">
        <f>IFERROR(IF(AND(O589&lt;&gt;"",J589&lt;&gt;"",J589&lt;&gt;0),O589/J589,""),"")</f>
        <v/>
      </c>
      <c r="R589" s="27">
        <f>IFERROR(IF(AND(L589&lt;&gt;"",B589&lt;&gt;""),L589-B589,""),"")</f>
        <v/>
      </c>
      <c r="S589" s="19" t="n"/>
      <c r="T589" s="19" t="n"/>
      <c r="U589" s="17">
        <f>IF(O589&lt;&gt;"",588,"")</f>
        <v/>
      </c>
      <c r="V589" s="18">
        <f>IF(O589&lt;&gt;"",V588+O589,V588)</f>
        <v/>
      </c>
    </row>
    <row r="590">
      <c r="A590" s="8" t="n"/>
      <c r="B590" s="9" t="n"/>
      <c r="C590" s="8" t="n"/>
      <c r="D590" s="8" t="n"/>
      <c r="E590" s="8" t="n"/>
      <c r="F590" s="10" t="n"/>
      <c r="G590" s="10" t="n"/>
      <c r="H590" s="10" t="n"/>
      <c r="I590" s="11" t="n"/>
      <c r="J590" s="10">
        <f>IFERROR(IF(AND(F590&lt;&gt;"",G590&lt;&gt;"",I590&lt;&gt;""),ABS(F590-G590)*I590,""),"")</f>
        <v/>
      </c>
      <c r="K590" s="12">
        <f>IFERROR(IF(AND(F590&lt;&gt;"",G590&lt;&gt;"",H590&lt;&gt;""),ABS(H590-F590)/ABS(F590-G590),""),"")</f>
        <v/>
      </c>
      <c r="L590" s="9" t="n"/>
      <c r="M590" s="10" t="n"/>
      <c r="N590" s="10" t="n"/>
      <c r="O590" s="13">
        <f>IFERROR(IF(AND(M590&lt;&gt;"",F590&lt;&gt;"",I590&lt;&gt;""),IF(D590="Long",(M590-F590)*I590-IF(N590&lt;&gt;"",N590,0),IF(D590="Short",(F590-M590)*I590-IF(N590&lt;&gt;"",N590,0),"")),""),"")</f>
        <v/>
      </c>
      <c r="P590" s="14">
        <f>IFERROR(IF(AND(O590&lt;&gt;"",F590&lt;&gt;"",I590&lt;&gt;""),O590/(F590*I590),""),"")</f>
        <v/>
      </c>
      <c r="Q590" s="15">
        <f>IFERROR(IF(AND(O590&lt;&gt;"",J590&lt;&gt;"",J590&lt;&gt;0),O590/J590,""),"")</f>
        <v/>
      </c>
      <c r="R590" s="16">
        <f>IFERROR(IF(AND(L590&lt;&gt;"",B590&lt;&gt;""),L590-B590,""),"")</f>
        <v/>
      </c>
      <c r="S590" s="8" t="n"/>
      <c r="T590" s="8" t="n"/>
      <c r="U590" s="17">
        <f>IF(O590&lt;&gt;"",589,"")</f>
        <v/>
      </c>
      <c r="V590" s="18">
        <f>IF(O590&lt;&gt;"",V589+O590,V589)</f>
        <v/>
      </c>
    </row>
    <row r="591">
      <c r="A591" s="19" t="n"/>
      <c r="B591" s="20" t="n"/>
      <c r="C591" s="19" t="n"/>
      <c r="D591" s="19" t="n"/>
      <c r="E591" s="19" t="n"/>
      <c r="F591" s="21" t="n"/>
      <c r="G591" s="21" t="n"/>
      <c r="H591" s="21" t="n"/>
      <c r="I591" s="22" t="n"/>
      <c r="J591" s="21">
        <f>IFERROR(IF(AND(F591&lt;&gt;"",G591&lt;&gt;"",I591&lt;&gt;""),ABS(F591-G591)*I591,""),"")</f>
        <v/>
      </c>
      <c r="K591" s="23">
        <f>IFERROR(IF(AND(F591&lt;&gt;"",G591&lt;&gt;"",H591&lt;&gt;""),ABS(H591-F591)/ABS(F591-G591),""),"")</f>
        <v/>
      </c>
      <c r="L591" s="20" t="n"/>
      <c r="M591" s="21" t="n"/>
      <c r="N591" s="21" t="n"/>
      <c r="O591" s="24">
        <f>IFERROR(IF(AND(M591&lt;&gt;"",F591&lt;&gt;"",I591&lt;&gt;""),IF(D591="Long",(M591-F591)*I591-IF(N591&lt;&gt;"",N591,0),IF(D591="Short",(F591-M591)*I591-IF(N591&lt;&gt;"",N591,0),"")),""),"")</f>
        <v/>
      </c>
      <c r="P591" s="25">
        <f>IFERROR(IF(AND(O591&lt;&gt;"",F591&lt;&gt;"",I591&lt;&gt;""),O591/(F591*I591),""),"")</f>
        <v/>
      </c>
      <c r="Q591" s="26">
        <f>IFERROR(IF(AND(O591&lt;&gt;"",J591&lt;&gt;"",J591&lt;&gt;0),O591/J591,""),"")</f>
        <v/>
      </c>
      <c r="R591" s="27">
        <f>IFERROR(IF(AND(L591&lt;&gt;"",B591&lt;&gt;""),L591-B591,""),"")</f>
        <v/>
      </c>
      <c r="S591" s="19" t="n"/>
      <c r="T591" s="19" t="n"/>
      <c r="U591" s="17">
        <f>IF(O591&lt;&gt;"",590,"")</f>
        <v/>
      </c>
      <c r="V591" s="18">
        <f>IF(O591&lt;&gt;"",V590+O591,V590)</f>
        <v/>
      </c>
    </row>
    <row r="592">
      <c r="A592" s="8" t="n"/>
      <c r="B592" s="9" t="n"/>
      <c r="C592" s="8" t="n"/>
      <c r="D592" s="8" t="n"/>
      <c r="E592" s="8" t="n"/>
      <c r="F592" s="10" t="n"/>
      <c r="G592" s="10" t="n"/>
      <c r="H592" s="10" t="n"/>
      <c r="I592" s="11" t="n"/>
      <c r="J592" s="10">
        <f>IFERROR(IF(AND(F592&lt;&gt;"",G592&lt;&gt;"",I592&lt;&gt;""),ABS(F592-G592)*I592,""),"")</f>
        <v/>
      </c>
      <c r="K592" s="12">
        <f>IFERROR(IF(AND(F592&lt;&gt;"",G592&lt;&gt;"",H592&lt;&gt;""),ABS(H592-F592)/ABS(F592-G592),""),"")</f>
        <v/>
      </c>
      <c r="L592" s="9" t="n"/>
      <c r="M592" s="10" t="n"/>
      <c r="N592" s="10" t="n"/>
      <c r="O592" s="13">
        <f>IFERROR(IF(AND(M592&lt;&gt;"",F592&lt;&gt;"",I592&lt;&gt;""),IF(D592="Long",(M592-F592)*I592-IF(N592&lt;&gt;"",N592,0),IF(D592="Short",(F592-M592)*I592-IF(N592&lt;&gt;"",N592,0),"")),""),"")</f>
        <v/>
      </c>
      <c r="P592" s="14">
        <f>IFERROR(IF(AND(O592&lt;&gt;"",F592&lt;&gt;"",I592&lt;&gt;""),O592/(F592*I592),""),"")</f>
        <v/>
      </c>
      <c r="Q592" s="15">
        <f>IFERROR(IF(AND(O592&lt;&gt;"",J592&lt;&gt;"",J592&lt;&gt;0),O592/J592,""),"")</f>
        <v/>
      </c>
      <c r="R592" s="16">
        <f>IFERROR(IF(AND(L592&lt;&gt;"",B592&lt;&gt;""),L592-B592,""),"")</f>
        <v/>
      </c>
      <c r="S592" s="8" t="n"/>
      <c r="T592" s="8" t="n"/>
      <c r="U592" s="17">
        <f>IF(O592&lt;&gt;"",591,"")</f>
        <v/>
      </c>
      <c r="V592" s="18">
        <f>IF(O592&lt;&gt;"",V591+O592,V591)</f>
        <v/>
      </c>
    </row>
    <row r="593">
      <c r="A593" s="19" t="n"/>
      <c r="B593" s="20" t="n"/>
      <c r="C593" s="19" t="n"/>
      <c r="D593" s="19" t="n"/>
      <c r="E593" s="19" t="n"/>
      <c r="F593" s="21" t="n"/>
      <c r="G593" s="21" t="n"/>
      <c r="H593" s="21" t="n"/>
      <c r="I593" s="22" t="n"/>
      <c r="J593" s="21">
        <f>IFERROR(IF(AND(F593&lt;&gt;"",G593&lt;&gt;"",I593&lt;&gt;""),ABS(F593-G593)*I593,""),"")</f>
        <v/>
      </c>
      <c r="K593" s="23">
        <f>IFERROR(IF(AND(F593&lt;&gt;"",G593&lt;&gt;"",H593&lt;&gt;""),ABS(H593-F593)/ABS(F593-G593),""),"")</f>
        <v/>
      </c>
      <c r="L593" s="20" t="n"/>
      <c r="M593" s="21" t="n"/>
      <c r="N593" s="21" t="n"/>
      <c r="O593" s="24">
        <f>IFERROR(IF(AND(M593&lt;&gt;"",F593&lt;&gt;"",I593&lt;&gt;""),IF(D593="Long",(M593-F593)*I593-IF(N593&lt;&gt;"",N593,0),IF(D593="Short",(F593-M593)*I593-IF(N593&lt;&gt;"",N593,0),"")),""),"")</f>
        <v/>
      </c>
      <c r="P593" s="25">
        <f>IFERROR(IF(AND(O593&lt;&gt;"",F593&lt;&gt;"",I593&lt;&gt;""),O593/(F593*I593),""),"")</f>
        <v/>
      </c>
      <c r="Q593" s="26">
        <f>IFERROR(IF(AND(O593&lt;&gt;"",J593&lt;&gt;"",J593&lt;&gt;0),O593/J593,""),"")</f>
        <v/>
      </c>
      <c r="R593" s="27">
        <f>IFERROR(IF(AND(L593&lt;&gt;"",B593&lt;&gt;""),L593-B593,""),"")</f>
        <v/>
      </c>
      <c r="S593" s="19" t="n"/>
      <c r="T593" s="19" t="n"/>
      <c r="U593" s="17">
        <f>IF(O593&lt;&gt;"",592,"")</f>
        <v/>
      </c>
      <c r="V593" s="18">
        <f>IF(O593&lt;&gt;"",V592+O593,V592)</f>
        <v/>
      </c>
    </row>
    <row r="594">
      <c r="A594" s="8" t="n"/>
      <c r="B594" s="9" t="n"/>
      <c r="C594" s="8" t="n"/>
      <c r="D594" s="8" t="n"/>
      <c r="E594" s="8" t="n"/>
      <c r="F594" s="10" t="n"/>
      <c r="G594" s="10" t="n"/>
      <c r="H594" s="10" t="n"/>
      <c r="I594" s="11" t="n"/>
      <c r="J594" s="10">
        <f>IFERROR(IF(AND(F594&lt;&gt;"",G594&lt;&gt;"",I594&lt;&gt;""),ABS(F594-G594)*I594,""),"")</f>
        <v/>
      </c>
      <c r="K594" s="12">
        <f>IFERROR(IF(AND(F594&lt;&gt;"",G594&lt;&gt;"",H594&lt;&gt;""),ABS(H594-F594)/ABS(F594-G594),""),"")</f>
        <v/>
      </c>
      <c r="L594" s="9" t="n"/>
      <c r="M594" s="10" t="n"/>
      <c r="N594" s="10" t="n"/>
      <c r="O594" s="13">
        <f>IFERROR(IF(AND(M594&lt;&gt;"",F594&lt;&gt;"",I594&lt;&gt;""),IF(D594="Long",(M594-F594)*I594-IF(N594&lt;&gt;"",N594,0),IF(D594="Short",(F594-M594)*I594-IF(N594&lt;&gt;"",N594,0),"")),""),"")</f>
        <v/>
      </c>
      <c r="P594" s="14">
        <f>IFERROR(IF(AND(O594&lt;&gt;"",F594&lt;&gt;"",I594&lt;&gt;""),O594/(F594*I594),""),"")</f>
        <v/>
      </c>
      <c r="Q594" s="15">
        <f>IFERROR(IF(AND(O594&lt;&gt;"",J594&lt;&gt;"",J594&lt;&gt;0),O594/J594,""),"")</f>
        <v/>
      </c>
      <c r="R594" s="16">
        <f>IFERROR(IF(AND(L594&lt;&gt;"",B594&lt;&gt;""),L594-B594,""),"")</f>
        <v/>
      </c>
      <c r="S594" s="8" t="n"/>
      <c r="T594" s="8" t="n"/>
      <c r="U594" s="17">
        <f>IF(O594&lt;&gt;"",593,"")</f>
        <v/>
      </c>
      <c r="V594" s="18">
        <f>IF(O594&lt;&gt;"",V593+O594,V593)</f>
        <v/>
      </c>
    </row>
    <row r="595">
      <c r="A595" s="19" t="n"/>
      <c r="B595" s="20" t="n"/>
      <c r="C595" s="19" t="n"/>
      <c r="D595" s="19" t="n"/>
      <c r="E595" s="19" t="n"/>
      <c r="F595" s="21" t="n"/>
      <c r="G595" s="21" t="n"/>
      <c r="H595" s="21" t="n"/>
      <c r="I595" s="22" t="n"/>
      <c r="J595" s="21">
        <f>IFERROR(IF(AND(F595&lt;&gt;"",G595&lt;&gt;"",I595&lt;&gt;""),ABS(F595-G595)*I595,""),"")</f>
        <v/>
      </c>
      <c r="K595" s="23">
        <f>IFERROR(IF(AND(F595&lt;&gt;"",G595&lt;&gt;"",H595&lt;&gt;""),ABS(H595-F595)/ABS(F595-G595),""),"")</f>
        <v/>
      </c>
      <c r="L595" s="20" t="n"/>
      <c r="M595" s="21" t="n"/>
      <c r="N595" s="21" t="n"/>
      <c r="O595" s="24">
        <f>IFERROR(IF(AND(M595&lt;&gt;"",F595&lt;&gt;"",I595&lt;&gt;""),IF(D595="Long",(M595-F595)*I595-IF(N595&lt;&gt;"",N595,0),IF(D595="Short",(F595-M595)*I595-IF(N595&lt;&gt;"",N595,0),"")),""),"")</f>
        <v/>
      </c>
      <c r="P595" s="25">
        <f>IFERROR(IF(AND(O595&lt;&gt;"",F595&lt;&gt;"",I595&lt;&gt;""),O595/(F595*I595),""),"")</f>
        <v/>
      </c>
      <c r="Q595" s="26">
        <f>IFERROR(IF(AND(O595&lt;&gt;"",J595&lt;&gt;"",J595&lt;&gt;0),O595/J595,""),"")</f>
        <v/>
      </c>
      <c r="R595" s="27">
        <f>IFERROR(IF(AND(L595&lt;&gt;"",B595&lt;&gt;""),L595-B595,""),"")</f>
        <v/>
      </c>
      <c r="S595" s="19" t="n"/>
      <c r="T595" s="19" t="n"/>
      <c r="U595" s="17">
        <f>IF(O595&lt;&gt;"",594,"")</f>
        <v/>
      </c>
      <c r="V595" s="18">
        <f>IF(O595&lt;&gt;"",V594+O595,V594)</f>
        <v/>
      </c>
    </row>
    <row r="596">
      <c r="A596" s="8" t="n"/>
      <c r="B596" s="9" t="n"/>
      <c r="C596" s="8" t="n"/>
      <c r="D596" s="8" t="n"/>
      <c r="E596" s="8" t="n"/>
      <c r="F596" s="10" t="n"/>
      <c r="G596" s="10" t="n"/>
      <c r="H596" s="10" t="n"/>
      <c r="I596" s="11" t="n"/>
      <c r="J596" s="10">
        <f>IFERROR(IF(AND(F596&lt;&gt;"",G596&lt;&gt;"",I596&lt;&gt;""),ABS(F596-G596)*I596,""),"")</f>
        <v/>
      </c>
      <c r="K596" s="12">
        <f>IFERROR(IF(AND(F596&lt;&gt;"",G596&lt;&gt;"",H596&lt;&gt;""),ABS(H596-F596)/ABS(F596-G596),""),"")</f>
        <v/>
      </c>
      <c r="L596" s="9" t="n"/>
      <c r="M596" s="10" t="n"/>
      <c r="N596" s="10" t="n"/>
      <c r="O596" s="13">
        <f>IFERROR(IF(AND(M596&lt;&gt;"",F596&lt;&gt;"",I596&lt;&gt;""),IF(D596="Long",(M596-F596)*I596-IF(N596&lt;&gt;"",N596,0),IF(D596="Short",(F596-M596)*I596-IF(N596&lt;&gt;"",N596,0),"")),""),"")</f>
        <v/>
      </c>
      <c r="P596" s="14">
        <f>IFERROR(IF(AND(O596&lt;&gt;"",F596&lt;&gt;"",I596&lt;&gt;""),O596/(F596*I596),""),"")</f>
        <v/>
      </c>
      <c r="Q596" s="15">
        <f>IFERROR(IF(AND(O596&lt;&gt;"",J596&lt;&gt;"",J596&lt;&gt;0),O596/J596,""),"")</f>
        <v/>
      </c>
      <c r="R596" s="16">
        <f>IFERROR(IF(AND(L596&lt;&gt;"",B596&lt;&gt;""),L596-B596,""),"")</f>
        <v/>
      </c>
      <c r="S596" s="8" t="n"/>
      <c r="T596" s="8" t="n"/>
      <c r="U596" s="17">
        <f>IF(O596&lt;&gt;"",595,"")</f>
        <v/>
      </c>
      <c r="V596" s="18">
        <f>IF(O596&lt;&gt;"",V595+O596,V595)</f>
        <v/>
      </c>
    </row>
    <row r="597">
      <c r="A597" s="19" t="n"/>
      <c r="B597" s="20" t="n"/>
      <c r="C597" s="19" t="n"/>
      <c r="D597" s="19" t="n"/>
      <c r="E597" s="19" t="n"/>
      <c r="F597" s="21" t="n"/>
      <c r="G597" s="21" t="n"/>
      <c r="H597" s="21" t="n"/>
      <c r="I597" s="22" t="n"/>
      <c r="J597" s="21">
        <f>IFERROR(IF(AND(F597&lt;&gt;"",G597&lt;&gt;"",I597&lt;&gt;""),ABS(F597-G597)*I597,""),"")</f>
        <v/>
      </c>
      <c r="K597" s="23">
        <f>IFERROR(IF(AND(F597&lt;&gt;"",G597&lt;&gt;"",H597&lt;&gt;""),ABS(H597-F597)/ABS(F597-G597),""),"")</f>
        <v/>
      </c>
      <c r="L597" s="20" t="n"/>
      <c r="M597" s="21" t="n"/>
      <c r="N597" s="21" t="n"/>
      <c r="O597" s="24">
        <f>IFERROR(IF(AND(M597&lt;&gt;"",F597&lt;&gt;"",I597&lt;&gt;""),IF(D597="Long",(M597-F597)*I597-IF(N597&lt;&gt;"",N597,0),IF(D597="Short",(F597-M597)*I597-IF(N597&lt;&gt;"",N597,0),"")),""),"")</f>
        <v/>
      </c>
      <c r="P597" s="25">
        <f>IFERROR(IF(AND(O597&lt;&gt;"",F597&lt;&gt;"",I597&lt;&gt;""),O597/(F597*I597),""),"")</f>
        <v/>
      </c>
      <c r="Q597" s="26">
        <f>IFERROR(IF(AND(O597&lt;&gt;"",J597&lt;&gt;"",J597&lt;&gt;0),O597/J597,""),"")</f>
        <v/>
      </c>
      <c r="R597" s="27">
        <f>IFERROR(IF(AND(L597&lt;&gt;"",B597&lt;&gt;""),L597-B597,""),"")</f>
        <v/>
      </c>
      <c r="S597" s="19" t="n"/>
      <c r="T597" s="19" t="n"/>
      <c r="U597" s="17">
        <f>IF(O597&lt;&gt;"",596,"")</f>
        <v/>
      </c>
      <c r="V597" s="18">
        <f>IF(O597&lt;&gt;"",V596+O597,V596)</f>
        <v/>
      </c>
    </row>
    <row r="598">
      <c r="A598" s="8" t="n"/>
      <c r="B598" s="9" t="n"/>
      <c r="C598" s="8" t="n"/>
      <c r="D598" s="8" t="n"/>
      <c r="E598" s="8" t="n"/>
      <c r="F598" s="10" t="n"/>
      <c r="G598" s="10" t="n"/>
      <c r="H598" s="10" t="n"/>
      <c r="I598" s="11" t="n"/>
      <c r="J598" s="10">
        <f>IFERROR(IF(AND(F598&lt;&gt;"",G598&lt;&gt;"",I598&lt;&gt;""),ABS(F598-G598)*I598,""),"")</f>
        <v/>
      </c>
      <c r="K598" s="12">
        <f>IFERROR(IF(AND(F598&lt;&gt;"",G598&lt;&gt;"",H598&lt;&gt;""),ABS(H598-F598)/ABS(F598-G598),""),"")</f>
        <v/>
      </c>
      <c r="L598" s="9" t="n"/>
      <c r="M598" s="10" t="n"/>
      <c r="N598" s="10" t="n"/>
      <c r="O598" s="13">
        <f>IFERROR(IF(AND(M598&lt;&gt;"",F598&lt;&gt;"",I598&lt;&gt;""),IF(D598="Long",(M598-F598)*I598-IF(N598&lt;&gt;"",N598,0),IF(D598="Short",(F598-M598)*I598-IF(N598&lt;&gt;"",N598,0),"")),""),"")</f>
        <v/>
      </c>
      <c r="P598" s="14">
        <f>IFERROR(IF(AND(O598&lt;&gt;"",F598&lt;&gt;"",I598&lt;&gt;""),O598/(F598*I598),""),"")</f>
        <v/>
      </c>
      <c r="Q598" s="15">
        <f>IFERROR(IF(AND(O598&lt;&gt;"",J598&lt;&gt;"",J598&lt;&gt;0),O598/J598,""),"")</f>
        <v/>
      </c>
      <c r="R598" s="16">
        <f>IFERROR(IF(AND(L598&lt;&gt;"",B598&lt;&gt;""),L598-B598,""),"")</f>
        <v/>
      </c>
      <c r="S598" s="8" t="n"/>
      <c r="T598" s="8" t="n"/>
      <c r="U598" s="17">
        <f>IF(O598&lt;&gt;"",597,"")</f>
        <v/>
      </c>
      <c r="V598" s="18">
        <f>IF(O598&lt;&gt;"",V597+O598,V597)</f>
        <v/>
      </c>
    </row>
    <row r="599">
      <c r="A599" s="19" t="n"/>
      <c r="B599" s="20" t="n"/>
      <c r="C599" s="19" t="n"/>
      <c r="D599" s="19" t="n"/>
      <c r="E599" s="19" t="n"/>
      <c r="F599" s="21" t="n"/>
      <c r="G599" s="21" t="n"/>
      <c r="H599" s="21" t="n"/>
      <c r="I599" s="22" t="n"/>
      <c r="J599" s="21">
        <f>IFERROR(IF(AND(F599&lt;&gt;"",G599&lt;&gt;"",I599&lt;&gt;""),ABS(F599-G599)*I599,""),"")</f>
        <v/>
      </c>
      <c r="K599" s="23">
        <f>IFERROR(IF(AND(F599&lt;&gt;"",G599&lt;&gt;"",H599&lt;&gt;""),ABS(H599-F599)/ABS(F599-G599),""),"")</f>
        <v/>
      </c>
      <c r="L599" s="20" t="n"/>
      <c r="M599" s="21" t="n"/>
      <c r="N599" s="21" t="n"/>
      <c r="O599" s="24">
        <f>IFERROR(IF(AND(M599&lt;&gt;"",F599&lt;&gt;"",I599&lt;&gt;""),IF(D599="Long",(M599-F599)*I599-IF(N599&lt;&gt;"",N599,0),IF(D599="Short",(F599-M599)*I599-IF(N599&lt;&gt;"",N599,0),"")),""),"")</f>
        <v/>
      </c>
      <c r="P599" s="25">
        <f>IFERROR(IF(AND(O599&lt;&gt;"",F599&lt;&gt;"",I599&lt;&gt;""),O599/(F599*I599),""),"")</f>
        <v/>
      </c>
      <c r="Q599" s="26">
        <f>IFERROR(IF(AND(O599&lt;&gt;"",J599&lt;&gt;"",J599&lt;&gt;0),O599/J599,""),"")</f>
        <v/>
      </c>
      <c r="R599" s="27">
        <f>IFERROR(IF(AND(L599&lt;&gt;"",B599&lt;&gt;""),L599-B599,""),"")</f>
        <v/>
      </c>
      <c r="S599" s="19" t="n"/>
      <c r="T599" s="19" t="n"/>
      <c r="U599" s="17">
        <f>IF(O599&lt;&gt;"",598,"")</f>
        <v/>
      </c>
      <c r="V599" s="18">
        <f>IF(O599&lt;&gt;"",V598+O599,V598)</f>
        <v/>
      </c>
    </row>
    <row r="600">
      <c r="A600" s="8" t="n"/>
      <c r="B600" s="9" t="n"/>
      <c r="C600" s="8" t="n"/>
      <c r="D600" s="8" t="n"/>
      <c r="E600" s="8" t="n"/>
      <c r="F600" s="10" t="n"/>
      <c r="G600" s="10" t="n"/>
      <c r="H600" s="10" t="n"/>
      <c r="I600" s="11" t="n"/>
      <c r="J600" s="10">
        <f>IFERROR(IF(AND(F600&lt;&gt;"",G600&lt;&gt;"",I600&lt;&gt;""),ABS(F600-G600)*I600,""),"")</f>
        <v/>
      </c>
      <c r="K600" s="12">
        <f>IFERROR(IF(AND(F600&lt;&gt;"",G600&lt;&gt;"",H600&lt;&gt;""),ABS(H600-F600)/ABS(F600-G600),""),"")</f>
        <v/>
      </c>
      <c r="L600" s="9" t="n"/>
      <c r="M600" s="10" t="n"/>
      <c r="N600" s="10" t="n"/>
      <c r="O600" s="13">
        <f>IFERROR(IF(AND(M600&lt;&gt;"",F600&lt;&gt;"",I600&lt;&gt;""),IF(D600="Long",(M600-F600)*I600-IF(N600&lt;&gt;"",N600,0),IF(D600="Short",(F600-M600)*I600-IF(N600&lt;&gt;"",N600,0),"")),""),"")</f>
        <v/>
      </c>
      <c r="P600" s="14">
        <f>IFERROR(IF(AND(O600&lt;&gt;"",F600&lt;&gt;"",I600&lt;&gt;""),O600/(F600*I600),""),"")</f>
        <v/>
      </c>
      <c r="Q600" s="15">
        <f>IFERROR(IF(AND(O600&lt;&gt;"",J600&lt;&gt;"",J600&lt;&gt;0),O600/J600,""),"")</f>
        <v/>
      </c>
      <c r="R600" s="16">
        <f>IFERROR(IF(AND(L600&lt;&gt;"",B600&lt;&gt;""),L600-B600,""),"")</f>
        <v/>
      </c>
      <c r="S600" s="8" t="n"/>
      <c r="T600" s="8" t="n"/>
      <c r="U600" s="17">
        <f>IF(O600&lt;&gt;"",599,"")</f>
        <v/>
      </c>
      <c r="V600" s="18">
        <f>IF(O600&lt;&gt;"",V599+O600,V599)</f>
        <v/>
      </c>
    </row>
    <row r="601">
      <c r="A601" s="19" t="n"/>
      <c r="B601" s="20" t="n"/>
      <c r="C601" s="19" t="n"/>
      <c r="D601" s="19" t="n"/>
      <c r="E601" s="19" t="n"/>
      <c r="F601" s="21" t="n"/>
      <c r="G601" s="21" t="n"/>
      <c r="H601" s="21" t="n"/>
      <c r="I601" s="22" t="n"/>
      <c r="J601" s="21">
        <f>IFERROR(IF(AND(F601&lt;&gt;"",G601&lt;&gt;"",I601&lt;&gt;""),ABS(F601-G601)*I601,""),"")</f>
        <v/>
      </c>
      <c r="K601" s="23">
        <f>IFERROR(IF(AND(F601&lt;&gt;"",G601&lt;&gt;"",H601&lt;&gt;""),ABS(H601-F601)/ABS(F601-G601),""),"")</f>
        <v/>
      </c>
      <c r="L601" s="20" t="n"/>
      <c r="M601" s="21" t="n"/>
      <c r="N601" s="21" t="n"/>
      <c r="O601" s="24">
        <f>IFERROR(IF(AND(M601&lt;&gt;"",F601&lt;&gt;"",I601&lt;&gt;""),IF(D601="Long",(M601-F601)*I601-IF(N601&lt;&gt;"",N601,0),IF(D601="Short",(F601-M601)*I601-IF(N601&lt;&gt;"",N601,0),"")),""),"")</f>
        <v/>
      </c>
      <c r="P601" s="25">
        <f>IFERROR(IF(AND(O601&lt;&gt;"",F601&lt;&gt;"",I601&lt;&gt;""),O601/(F601*I601),""),"")</f>
        <v/>
      </c>
      <c r="Q601" s="26">
        <f>IFERROR(IF(AND(O601&lt;&gt;"",J601&lt;&gt;"",J601&lt;&gt;0),O601/J601,""),"")</f>
        <v/>
      </c>
      <c r="R601" s="27">
        <f>IFERROR(IF(AND(L601&lt;&gt;"",B601&lt;&gt;""),L601-B601,""),"")</f>
        <v/>
      </c>
      <c r="S601" s="19" t="n"/>
      <c r="T601" s="19" t="n"/>
      <c r="U601" s="17">
        <f>IF(O601&lt;&gt;"",600,"")</f>
        <v/>
      </c>
      <c r="V601" s="18">
        <f>IF(O601&lt;&gt;"",V600+O601,V600)</f>
        <v/>
      </c>
    </row>
  </sheetData>
  <dataValidations count="3">
    <dataValidation sqref="D2:D601" showDropDown="0" showInputMessage="0" showErrorMessage="0" allowBlank="1" errorTitle="Invalid direction" error="Choose Long or Short." type="list">
      <formula1>"Long,Short"</formula1>
    </dataValidation>
    <dataValidation sqref="E2:E601" showDropDown="0" showInputMessage="0" showErrorMessage="0" allowBlank="1" type="list">
      <formula1>Playbook!$A$2:$A$21</formula1>
    </dataValidation>
    <dataValidation sqref="S2:S601" showDropDown="0" showInputMessage="0" showErrorMessage="0" allowBlank="1" type="list">
      <formula1>"None,Chased entry,Moved stop,Oversized,Early exit,No plan,Revenge trade,Other"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40" customWidth="1" min="3" max="3"/>
  </cols>
  <sheetData>
    <row r="1">
      <c r="A1" s="28" t="inlineStr">
        <is>
          <t>Settings — Account &amp; Risk Defaults</t>
        </is>
      </c>
    </row>
    <row r="3">
      <c r="A3" s="29" t="inlineStr">
        <is>
          <t>Label</t>
        </is>
      </c>
      <c r="B3" s="29" t="inlineStr">
        <is>
          <t>Value</t>
        </is>
      </c>
      <c r="C3" s="29" t="inlineStr">
        <is>
          <t>Notes</t>
        </is>
      </c>
    </row>
    <row r="4">
      <c r="A4" s="30" t="inlineStr">
        <is>
          <t>Starting account size</t>
        </is>
      </c>
      <c r="B4" s="31" t="n">
        <v>10000</v>
      </c>
      <c r="C4" s="32" t="inlineStr">
        <is>
          <t>Change this to your actual account size in your currency.</t>
        </is>
      </c>
    </row>
    <row r="5">
      <c r="A5" s="30" t="inlineStr">
        <is>
          <t>Default risk % per trade</t>
        </is>
      </c>
      <c r="B5" s="33" t="n">
        <v>0.01</v>
      </c>
      <c r="C5" s="32" t="inlineStr">
        <is>
          <t>1% means you risk 1% of account per trade at your full stop.</t>
        </is>
      </c>
    </row>
    <row r="6">
      <c r="A6" s="30" t="inlineStr">
        <is>
          <t>Currency label</t>
        </is>
      </c>
      <c r="B6" s="34" t="inlineStr">
        <is>
          <t>USD</t>
        </is>
      </c>
      <c r="C6" s="32" t="inlineStr">
        <is>
          <t>Display label only. Does not convert values.</t>
        </is>
      </c>
    </row>
    <row r="8">
      <c r="A8" s="30" t="inlineStr">
        <is>
          <t>Risk $ at default (account × risk %)</t>
        </is>
      </c>
      <c r="B8" s="31">
        <f>B4*B5</f>
        <v/>
      </c>
      <c r="C8" s="32" t="inlineStr">
        <is>
          <t>This is the dollar amount you would risk on a max-size trade at your defaults.</t>
        </is>
      </c>
    </row>
    <row r="10">
      <c r="A10" s="35" t="inlineStr">
        <is>
          <t>Settings!$B$4 (account size) feeds the Dashboard 'Total P/L as % of starting account' row and the Risk $ helper below. Settings!$B$5 (risk %) feeds the Risk $ helper. You can change these values at any time — all dependent cells update automatically.</t>
        </is>
      </c>
    </row>
  </sheetData>
  <mergeCells count="2">
    <mergeCell ref="A1:C1"/>
    <mergeCell ref="A10:C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3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20" customWidth="1" min="3" max="3"/>
    <col width="12" customWidth="1" min="4" max="4"/>
    <col width="12" customWidth="1" min="5" max="5"/>
    <col width="14" customWidth="1" min="6" max="6"/>
    <col width="12" customWidth="1" min="7" max="7"/>
  </cols>
  <sheetData>
    <row r="1">
      <c r="A1" s="28" t="inlineStr">
        <is>
          <t>Trading Dashboard — auto-calculated from your Trade Log</t>
        </is>
      </c>
    </row>
    <row r="2">
      <c r="A2" s="36" t="inlineStr">
        <is>
          <t>TRADE SUMMARY</t>
        </is>
      </c>
    </row>
    <row r="3">
      <c r="A3" s="37" t="inlineStr">
        <is>
          <t>Total closed trades</t>
        </is>
      </c>
      <c r="B3" s="38">
        <f>COUNTIF('Trade Log'!$O$2:$O$601,"&lt;&gt;"&amp;"")</f>
        <v/>
      </c>
      <c r="C3" s="39" t="inlineStr">
        <is>
          <t>Closed = rows where P/L $ is present</t>
        </is>
      </c>
    </row>
    <row r="4">
      <c r="A4" s="37" t="inlineStr">
        <is>
          <t>Wins (P/L $ &gt; 0)</t>
        </is>
      </c>
      <c r="B4" s="38">
        <f>COUNTIF('Trade Log'!$O$2:$O$601,"&gt;0")</f>
        <v/>
      </c>
    </row>
    <row r="5">
      <c r="A5" s="37" t="inlineStr">
        <is>
          <t>Losses (P/L $ &lt; 0)</t>
        </is>
      </c>
      <c r="B5" s="38">
        <f>COUNTIF('Trade Log'!$O$2:$O$601,"&lt;0")</f>
        <v/>
      </c>
    </row>
    <row r="6">
      <c r="A6" s="37" t="inlineStr">
        <is>
          <t>Win rate</t>
        </is>
      </c>
      <c r="B6" s="40">
        <f>IFERROR(COUNTIF('Trade Log'!$O$2:$O$601,"&gt;0")/COUNTIF('Trade Log'!$O$2:$O$601,"&lt;&gt;"&amp;""),0)</f>
        <v/>
      </c>
    </row>
    <row r="8">
      <c r="A8" s="36" t="inlineStr">
        <is>
          <t>PROFIT &amp; LOSS</t>
        </is>
      </c>
    </row>
    <row r="9">
      <c r="A9" s="37" t="inlineStr">
        <is>
          <t>Total P/L $</t>
        </is>
      </c>
      <c r="B9" s="41">
        <f>IFERROR(SUM('Trade Log'!$O$2:$O$601),0)</f>
        <v/>
      </c>
    </row>
    <row r="10">
      <c r="A10" s="37" t="inlineStr">
        <is>
          <t>Average win $</t>
        </is>
      </c>
      <c r="B10" s="42">
        <f>IFERROR(AVERAGEIF('Trade Log'!$O$2:$O$601,"&gt;0"),0)</f>
        <v/>
      </c>
    </row>
    <row r="11">
      <c r="A11" s="37" t="inlineStr">
        <is>
          <t>Average loss $</t>
        </is>
      </c>
      <c r="B11" s="41">
        <f>IFERROR(AVERAGEIF('Trade Log'!$O$2:$O$601,"&lt;0"),0)</f>
        <v/>
      </c>
    </row>
    <row r="12">
      <c r="A12" s="37" t="inlineStr">
        <is>
          <t>Best trade $</t>
        </is>
      </c>
      <c r="B12" s="42">
        <f>IFERROR(MAX('Trade Log'!$O$2:$O$601),0)</f>
        <v/>
      </c>
    </row>
    <row r="13">
      <c r="A13" s="37" t="inlineStr">
        <is>
          <t>Worst trade $</t>
        </is>
      </c>
      <c r="B13" s="41">
        <f>IFERROR(MIN('Trade Log'!$O$2:$O$601),0)</f>
        <v/>
      </c>
    </row>
    <row r="15">
      <c r="A15" s="36" t="inlineStr">
        <is>
          <t>EDGE STATISTICS</t>
        </is>
      </c>
    </row>
    <row r="16">
      <c r="A16" s="37" t="inlineStr">
        <is>
          <t>Payoff ratio (avg win / |avg loss|)</t>
        </is>
      </c>
      <c r="B16" s="43">
        <f>IFERROR(ABS(AVERAGEIF('Trade Log'!$O$2:$O$601,"&gt;0")/AVERAGEIF('Trade Log'!$O$2:$O$601,"&lt;0")),0)</f>
        <v/>
      </c>
      <c r="C16" s="39" t="inlineStr">
        <is>
          <t>Above 1.0 means wins are larger than losses on average</t>
        </is>
      </c>
    </row>
    <row r="17">
      <c r="A17" s="37" t="inlineStr">
        <is>
          <t>Profit factor (gross wins / |gross losses|)</t>
        </is>
      </c>
      <c r="B17" s="43">
        <f>IFERROR(ABS(SUMIF('Trade Log'!$O$2:$O$601,"&gt;0")/SUMIF('Trade Log'!$O$2:$O$601,"&lt;0")),0)</f>
        <v/>
      </c>
      <c r="C17" s="39" t="inlineStr">
        <is>
          <t>Above 1.0 means the system is profitable overall</t>
        </is>
      </c>
    </row>
    <row r="18">
      <c r="A18" s="37" t="inlineStr">
        <is>
          <t>Expectancy per trade $</t>
        </is>
      </c>
      <c r="B18" s="42">
        <f>IFERROR(SUM('Trade Log'!$O$2:$O$601)/COUNTIF('Trade Log'!$O$2:$O$601,"&lt;&gt;"&amp;""),0)</f>
        <v/>
      </c>
      <c r="C18" s="39" t="inlineStr">
        <is>
          <t>Average dollar earned per closed trade</t>
        </is>
      </c>
    </row>
    <row r="19">
      <c r="A19" s="37" t="inlineStr">
        <is>
          <t>Expectancy per trade (R)</t>
        </is>
      </c>
      <c r="B19" s="43">
        <f>IFERROR(SUM('Trade Log'!$Q$2:$Q$601)/COUNTIF('Trade Log'!$O$2:$O$601,"&lt;&gt;"&amp;""),0)</f>
        <v/>
      </c>
      <c r="C19" s="39" t="inlineStr">
        <is>
          <t>Average R earned per closed trade</t>
        </is>
      </c>
    </row>
    <row r="20">
      <c r="A20" s="37" t="inlineStr">
        <is>
          <t>Average R multiple</t>
        </is>
      </c>
      <c r="B20" s="43">
        <f>IFERROR(AVERAGEIF('Trade Log'!$O$2:$O$601,"&lt;&gt;"&amp;"",'Trade Log'!$Q$2:$Q$601),0)</f>
        <v/>
      </c>
    </row>
    <row r="21">
      <c r="A21" s="37" t="inlineStr">
        <is>
          <t>Average days held</t>
        </is>
      </c>
      <c r="B21" s="44">
        <f>IFERROR(AVERAGEIF('Trade Log'!$O$2:$O$601,"&lt;&gt;"&amp;"",'Trade Log'!$R$2:$R$601),0)</f>
        <v/>
      </c>
    </row>
    <row r="23">
      <c r="A23" s="36" t="inlineStr">
        <is>
          <t>COST OF MISTAKES  (the feature TrendSpider's free journal doesn't have)</t>
        </is>
      </c>
    </row>
    <row r="24">
      <c r="A24" s="37" t="inlineStr">
        <is>
          <t>Trades tagged as a mistake</t>
        </is>
      </c>
      <c r="B24" s="38">
        <f>IFERROR(COUNTIFS('Trade Log'!$O$2:$O$601,"&lt;&gt;"&amp;"",'Trade Log'!$S$2:$S$601,"&lt;&gt;None")-COUNTIFS('Trade Log'!$O$2:$O$601,"&lt;&gt;"&amp;"",'Trade Log'!$S$2:$S$601,""),0)</f>
        <v/>
      </c>
      <c r="C24" s="39" t="inlineStr">
        <is>
          <t>Closed trades where Mistake? is not None</t>
        </is>
      </c>
    </row>
    <row r="25">
      <c r="A25" s="37" t="inlineStr">
        <is>
          <t>Combined P/L on mistake trades $</t>
        </is>
      </c>
      <c r="B25" s="41">
        <f>IFERROR(SUMIFS('Trade Log'!$O$2:$O$601,'Trade Log'!$S$2:$S$601,"&lt;&gt;None",'Trade Log'!$S$2:$S$601,"&lt;&gt;"),0)</f>
        <v/>
      </c>
      <c r="C25" s="39" t="inlineStr">
        <is>
          <t>How much those tagged mistakes cost (or made) you</t>
        </is>
      </c>
    </row>
    <row r="27">
      <c r="A27" s="36" t="inlineStr">
        <is>
          <t>ACCOUNT CONTEXT</t>
        </is>
      </c>
    </row>
    <row r="28">
      <c r="A28" s="37" t="inlineStr">
        <is>
          <t>Total P/L as % of starting account</t>
        </is>
      </c>
      <c r="B28" s="45">
        <f>IFERROR(SUM('Trade Log'!$O$2:$O$601)/Settings!$B$4,0)</f>
        <v/>
      </c>
      <c r="C28" s="39" t="inlineStr">
        <is>
          <t>Total realised P/L relative to the account size in Settings!B4</t>
        </is>
      </c>
    </row>
    <row r="30">
      <c r="A30" s="36" t="inlineStr">
        <is>
          <t>PER-SETUP BREAKDOWN</t>
        </is>
      </c>
    </row>
    <row r="31">
      <c r="A31" s="29" t="inlineStr">
        <is>
          <t>Setup</t>
        </is>
      </c>
      <c r="B31" s="29" t="inlineStr">
        <is>
          <t>Trades</t>
        </is>
      </c>
      <c r="C31" s="29" t="inlineStr">
        <is>
          <t>Win Rate</t>
        </is>
      </c>
      <c r="D31" s="29" t="inlineStr">
        <is>
          <t>Total P/L $</t>
        </is>
      </c>
      <c r="E31" s="29" t="inlineStr">
        <is>
          <t>Avg R</t>
        </is>
      </c>
    </row>
    <row r="32">
      <c r="A32" s="46">
        <f>IFERROR(IF(Playbook!$A$2="","",Playbook!$A$2),"")</f>
        <v/>
      </c>
      <c r="B32" s="47">
        <f>IFERROR(IF(Playbook!$A$2="","",COUNTIFS('Trade Log'!$E$2:$E$601,Playbook!$A$2,'Trade Log'!$O$2:$O$601,"&lt;&gt;"&amp;"")),"")</f>
        <v/>
      </c>
      <c r="C32" s="48">
        <f>IFERROR(IF(Playbook!$A$2="","",COUNTIFS('Trade Log'!$E$2:$E$601,Playbook!$A$2,'Trade Log'!$O$2:$O$601,"&gt;0")/COUNTIFS('Trade Log'!$E$2:$E$601,Playbook!$A$2,'Trade Log'!$O$2:$O$601,"&lt;&gt;"&amp;"")),"")</f>
        <v/>
      </c>
      <c r="D32" s="49">
        <f>IFERROR(IF(Playbook!$A$2="","",SUMIFS('Trade Log'!$O$2:$O$601,'Trade Log'!$E$2:$E$601,Playbook!$A$2)),"")</f>
        <v/>
      </c>
      <c r="E32" s="50">
        <f>IFERROR(IF(Playbook!$A$2="","",AVERAGEIFS('Trade Log'!$Q$2:$Q$601,'Trade Log'!$E$2:$E$601,Playbook!$A$2,'Trade Log'!$O$2:$O$601,"&lt;&gt;"&amp;"")),"")</f>
        <v/>
      </c>
    </row>
    <row r="33">
      <c r="A33" s="51">
        <f>IFERROR(IF(Playbook!$A$3="","",Playbook!$A$3),"")</f>
        <v/>
      </c>
      <c r="B33" s="52">
        <f>IFERROR(IF(Playbook!$A$3="","",COUNTIFS('Trade Log'!$E$2:$E$601,Playbook!$A$3,'Trade Log'!$O$2:$O$601,"&lt;&gt;"&amp;"")),"")</f>
        <v/>
      </c>
      <c r="C33" s="53">
        <f>IFERROR(IF(Playbook!$A$3="","",COUNTIFS('Trade Log'!$E$2:$E$601,Playbook!$A$3,'Trade Log'!$O$2:$O$601,"&gt;0")/COUNTIFS('Trade Log'!$E$2:$E$601,Playbook!$A$3,'Trade Log'!$O$2:$O$601,"&lt;&gt;"&amp;"")),"")</f>
        <v/>
      </c>
      <c r="D33" s="54">
        <f>IFERROR(IF(Playbook!$A$3="","",SUMIFS('Trade Log'!$O$2:$O$601,'Trade Log'!$E$2:$E$601,Playbook!$A$3)),"")</f>
        <v/>
      </c>
      <c r="E33" s="55">
        <f>IFERROR(IF(Playbook!$A$3="","",AVERAGEIFS('Trade Log'!$Q$2:$Q$601,'Trade Log'!$E$2:$E$601,Playbook!$A$3,'Trade Log'!$O$2:$O$601,"&lt;&gt;"&amp;"")),"")</f>
        <v/>
      </c>
    </row>
    <row r="34">
      <c r="A34" s="46">
        <f>IFERROR(IF(Playbook!$A$4="","",Playbook!$A$4),"")</f>
        <v/>
      </c>
      <c r="B34" s="47">
        <f>IFERROR(IF(Playbook!$A$4="","",COUNTIFS('Trade Log'!$E$2:$E$601,Playbook!$A$4,'Trade Log'!$O$2:$O$601,"&lt;&gt;"&amp;"")),"")</f>
        <v/>
      </c>
      <c r="C34" s="48">
        <f>IFERROR(IF(Playbook!$A$4="","",COUNTIFS('Trade Log'!$E$2:$E$601,Playbook!$A$4,'Trade Log'!$O$2:$O$601,"&gt;0")/COUNTIFS('Trade Log'!$E$2:$E$601,Playbook!$A$4,'Trade Log'!$O$2:$O$601,"&lt;&gt;"&amp;"")),"")</f>
        <v/>
      </c>
      <c r="D34" s="49">
        <f>IFERROR(IF(Playbook!$A$4="","",SUMIFS('Trade Log'!$O$2:$O$601,'Trade Log'!$E$2:$E$601,Playbook!$A$4)),"")</f>
        <v/>
      </c>
      <c r="E34" s="50">
        <f>IFERROR(IF(Playbook!$A$4="","",AVERAGEIFS('Trade Log'!$Q$2:$Q$601,'Trade Log'!$E$2:$E$601,Playbook!$A$4,'Trade Log'!$O$2:$O$601,"&lt;&gt;"&amp;"")),"")</f>
        <v/>
      </c>
    </row>
    <row r="35">
      <c r="A35" s="51">
        <f>IFERROR(IF(Playbook!$A$5="","",Playbook!$A$5),"")</f>
        <v/>
      </c>
      <c r="B35" s="52">
        <f>IFERROR(IF(Playbook!$A$5="","",COUNTIFS('Trade Log'!$E$2:$E$601,Playbook!$A$5,'Trade Log'!$O$2:$O$601,"&lt;&gt;"&amp;"")),"")</f>
        <v/>
      </c>
      <c r="C35" s="53">
        <f>IFERROR(IF(Playbook!$A$5="","",COUNTIFS('Trade Log'!$E$2:$E$601,Playbook!$A$5,'Trade Log'!$O$2:$O$601,"&gt;0")/COUNTIFS('Trade Log'!$E$2:$E$601,Playbook!$A$5,'Trade Log'!$O$2:$O$601,"&lt;&gt;"&amp;"")),"")</f>
        <v/>
      </c>
      <c r="D35" s="54">
        <f>IFERROR(IF(Playbook!$A$5="","",SUMIFS('Trade Log'!$O$2:$O$601,'Trade Log'!$E$2:$E$601,Playbook!$A$5)),"")</f>
        <v/>
      </c>
      <c r="E35" s="55">
        <f>IFERROR(IF(Playbook!$A$5="","",AVERAGEIFS('Trade Log'!$Q$2:$Q$601,'Trade Log'!$E$2:$E$601,Playbook!$A$5,'Trade Log'!$O$2:$O$601,"&lt;&gt;"&amp;"")),"")</f>
        <v/>
      </c>
    </row>
    <row r="36">
      <c r="A36" s="46">
        <f>IFERROR(IF(Playbook!$A$6="","",Playbook!$A$6),"")</f>
        <v/>
      </c>
      <c r="B36" s="47">
        <f>IFERROR(IF(Playbook!$A$6="","",COUNTIFS('Trade Log'!$E$2:$E$601,Playbook!$A$6,'Trade Log'!$O$2:$O$601,"&lt;&gt;"&amp;"")),"")</f>
        <v/>
      </c>
      <c r="C36" s="48">
        <f>IFERROR(IF(Playbook!$A$6="","",COUNTIFS('Trade Log'!$E$2:$E$601,Playbook!$A$6,'Trade Log'!$O$2:$O$601,"&gt;0")/COUNTIFS('Trade Log'!$E$2:$E$601,Playbook!$A$6,'Trade Log'!$O$2:$O$601,"&lt;&gt;"&amp;"")),"")</f>
        <v/>
      </c>
      <c r="D36" s="49">
        <f>IFERROR(IF(Playbook!$A$6="","",SUMIFS('Trade Log'!$O$2:$O$601,'Trade Log'!$E$2:$E$601,Playbook!$A$6)),"")</f>
        <v/>
      </c>
      <c r="E36" s="50">
        <f>IFERROR(IF(Playbook!$A$6="","",AVERAGEIFS('Trade Log'!$Q$2:$Q$601,'Trade Log'!$E$2:$E$601,Playbook!$A$6,'Trade Log'!$O$2:$O$601,"&lt;&gt;"&amp;"")),"")</f>
        <v/>
      </c>
    </row>
    <row r="37">
      <c r="A37" s="51">
        <f>IFERROR(IF(Playbook!$A$7="","",Playbook!$A$7),"")</f>
        <v/>
      </c>
      <c r="B37" s="52">
        <f>IFERROR(IF(Playbook!$A$7="","",COUNTIFS('Trade Log'!$E$2:$E$601,Playbook!$A$7,'Trade Log'!$O$2:$O$601,"&lt;&gt;"&amp;"")),"")</f>
        <v/>
      </c>
      <c r="C37" s="53">
        <f>IFERROR(IF(Playbook!$A$7="","",COUNTIFS('Trade Log'!$E$2:$E$601,Playbook!$A$7,'Trade Log'!$O$2:$O$601,"&gt;0")/COUNTIFS('Trade Log'!$E$2:$E$601,Playbook!$A$7,'Trade Log'!$O$2:$O$601,"&lt;&gt;"&amp;"")),"")</f>
        <v/>
      </c>
      <c r="D37" s="54">
        <f>IFERROR(IF(Playbook!$A$7="","",SUMIFS('Trade Log'!$O$2:$O$601,'Trade Log'!$E$2:$E$601,Playbook!$A$7)),"")</f>
        <v/>
      </c>
      <c r="E37" s="55">
        <f>IFERROR(IF(Playbook!$A$7="","",AVERAGEIFS('Trade Log'!$Q$2:$Q$601,'Trade Log'!$E$2:$E$601,Playbook!$A$7,'Trade Log'!$O$2:$O$601,"&lt;&gt;"&amp;"")),"")</f>
        <v/>
      </c>
    </row>
    <row r="38">
      <c r="A38" s="46">
        <f>IFERROR(IF(Playbook!$A$8="","",Playbook!$A$8),"")</f>
        <v/>
      </c>
      <c r="B38" s="47">
        <f>IFERROR(IF(Playbook!$A$8="","",COUNTIFS('Trade Log'!$E$2:$E$601,Playbook!$A$8,'Trade Log'!$O$2:$O$601,"&lt;&gt;"&amp;"")),"")</f>
        <v/>
      </c>
      <c r="C38" s="48">
        <f>IFERROR(IF(Playbook!$A$8="","",COUNTIFS('Trade Log'!$E$2:$E$601,Playbook!$A$8,'Trade Log'!$O$2:$O$601,"&gt;0")/COUNTIFS('Trade Log'!$E$2:$E$601,Playbook!$A$8,'Trade Log'!$O$2:$O$601,"&lt;&gt;"&amp;"")),"")</f>
        <v/>
      </c>
      <c r="D38" s="49">
        <f>IFERROR(IF(Playbook!$A$8="","",SUMIFS('Trade Log'!$O$2:$O$601,'Trade Log'!$E$2:$E$601,Playbook!$A$8)),"")</f>
        <v/>
      </c>
      <c r="E38" s="50">
        <f>IFERROR(IF(Playbook!$A$8="","",AVERAGEIFS('Trade Log'!$Q$2:$Q$601,'Trade Log'!$E$2:$E$601,Playbook!$A$8,'Trade Log'!$O$2:$O$601,"&lt;&gt;"&amp;"")),"")</f>
        <v/>
      </c>
    </row>
    <row r="39">
      <c r="A39" s="51">
        <f>IFERROR(IF(Playbook!$A$9="","",Playbook!$A$9),"")</f>
        <v/>
      </c>
      <c r="B39" s="52">
        <f>IFERROR(IF(Playbook!$A$9="","",COUNTIFS('Trade Log'!$E$2:$E$601,Playbook!$A$9,'Trade Log'!$O$2:$O$601,"&lt;&gt;"&amp;"")),"")</f>
        <v/>
      </c>
      <c r="C39" s="53">
        <f>IFERROR(IF(Playbook!$A$9="","",COUNTIFS('Trade Log'!$E$2:$E$601,Playbook!$A$9,'Trade Log'!$O$2:$O$601,"&gt;0")/COUNTIFS('Trade Log'!$E$2:$E$601,Playbook!$A$9,'Trade Log'!$O$2:$O$601,"&lt;&gt;"&amp;"")),"")</f>
        <v/>
      </c>
      <c r="D39" s="54">
        <f>IFERROR(IF(Playbook!$A$9="","",SUMIFS('Trade Log'!$O$2:$O$601,'Trade Log'!$E$2:$E$601,Playbook!$A$9)),"")</f>
        <v/>
      </c>
      <c r="E39" s="55">
        <f>IFERROR(IF(Playbook!$A$9="","",AVERAGEIFS('Trade Log'!$Q$2:$Q$601,'Trade Log'!$E$2:$E$601,Playbook!$A$9,'Trade Log'!$O$2:$O$601,"&lt;&gt;"&amp;"")),"")</f>
        <v/>
      </c>
    </row>
    <row r="40">
      <c r="A40" s="46">
        <f>IFERROR(IF(Playbook!$A$10="","",Playbook!$A$10),"")</f>
        <v/>
      </c>
      <c r="B40" s="47">
        <f>IFERROR(IF(Playbook!$A$10="","",COUNTIFS('Trade Log'!$E$2:$E$601,Playbook!$A$10,'Trade Log'!$O$2:$O$601,"&lt;&gt;"&amp;"")),"")</f>
        <v/>
      </c>
      <c r="C40" s="48">
        <f>IFERROR(IF(Playbook!$A$10="","",COUNTIFS('Trade Log'!$E$2:$E$601,Playbook!$A$10,'Trade Log'!$O$2:$O$601,"&gt;0")/COUNTIFS('Trade Log'!$E$2:$E$601,Playbook!$A$10,'Trade Log'!$O$2:$O$601,"&lt;&gt;"&amp;"")),"")</f>
        <v/>
      </c>
      <c r="D40" s="49">
        <f>IFERROR(IF(Playbook!$A$10="","",SUMIFS('Trade Log'!$O$2:$O$601,'Trade Log'!$E$2:$E$601,Playbook!$A$10)),"")</f>
        <v/>
      </c>
      <c r="E40" s="50">
        <f>IFERROR(IF(Playbook!$A$10="","",AVERAGEIFS('Trade Log'!$Q$2:$Q$601,'Trade Log'!$E$2:$E$601,Playbook!$A$10,'Trade Log'!$O$2:$O$601,"&lt;&gt;"&amp;"")),"")</f>
        <v/>
      </c>
    </row>
    <row r="41">
      <c r="A41" s="51">
        <f>IFERROR(IF(Playbook!$A$11="","",Playbook!$A$11),"")</f>
        <v/>
      </c>
      <c r="B41" s="52">
        <f>IFERROR(IF(Playbook!$A$11="","",COUNTIFS('Trade Log'!$E$2:$E$601,Playbook!$A$11,'Trade Log'!$O$2:$O$601,"&lt;&gt;"&amp;"")),"")</f>
        <v/>
      </c>
      <c r="C41" s="53">
        <f>IFERROR(IF(Playbook!$A$11="","",COUNTIFS('Trade Log'!$E$2:$E$601,Playbook!$A$11,'Trade Log'!$O$2:$O$601,"&gt;0")/COUNTIFS('Trade Log'!$E$2:$E$601,Playbook!$A$11,'Trade Log'!$O$2:$O$601,"&lt;&gt;"&amp;"")),"")</f>
        <v/>
      </c>
      <c r="D41" s="54">
        <f>IFERROR(IF(Playbook!$A$11="","",SUMIFS('Trade Log'!$O$2:$O$601,'Trade Log'!$E$2:$E$601,Playbook!$A$11)),"")</f>
        <v/>
      </c>
      <c r="E41" s="55">
        <f>IFERROR(IF(Playbook!$A$11="","",AVERAGEIFS('Trade Log'!$Q$2:$Q$601,'Trade Log'!$E$2:$E$601,Playbook!$A$11,'Trade Log'!$O$2:$O$601,"&lt;&gt;"&amp;"")),"")</f>
        <v/>
      </c>
    </row>
    <row r="42">
      <c r="A42" s="46">
        <f>IFERROR(IF(Playbook!$A$12="","",Playbook!$A$12),"")</f>
        <v/>
      </c>
      <c r="B42" s="47">
        <f>IFERROR(IF(Playbook!$A$12="","",COUNTIFS('Trade Log'!$E$2:$E$601,Playbook!$A$12,'Trade Log'!$O$2:$O$601,"&lt;&gt;"&amp;"")),"")</f>
        <v/>
      </c>
      <c r="C42" s="48">
        <f>IFERROR(IF(Playbook!$A$12="","",COUNTIFS('Trade Log'!$E$2:$E$601,Playbook!$A$12,'Trade Log'!$O$2:$O$601,"&gt;0")/COUNTIFS('Trade Log'!$E$2:$E$601,Playbook!$A$12,'Trade Log'!$O$2:$O$601,"&lt;&gt;"&amp;"")),"")</f>
        <v/>
      </c>
      <c r="D42" s="49">
        <f>IFERROR(IF(Playbook!$A$12="","",SUMIFS('Trade Log'!$O$2:$O$601,'Trade Log'!$E$2:$E$601,Playbook!$A$12)),"")</f>
        <v/>
      </c>
      <c r="E42" s="50">
        <f>IFERROR(IF(Playbook!$A$12="","",AVERAGEIFS('Trade Log'!$Q$2:$Q$601,'Trade Log'!$E$2:$E$601,Playbook!$A$12,'Trade Log'!$O$2:$O$601,"&lt;&gt;"&amp;"")),"")</f>
        <v/>
      </c>
    </row>
    <row r="43">
      <c r="A43" s="51">
        <f>IFERROR(IF(Playbook!$A$13="","",Playbook!$A$13),"")</f>
        <v/>
      </c>
      <c r="B43" s="52">
        <f>IFERROR(IF(Playbook!$A$13="","",COUNTIFS('Trade Log'!$E$2:$E$601,Playbook!$A$13,'Trade Log'!$O$2:$O$601,"&lt;&gt;"&amp;"")),"")</f>
        <v/>
      </c>
      <c r="C43" s="53">
        <f>IFERROR(IF(Playbook!$A$13="","",COUNTIFS('Trade Log'!$E$2:$E$601,Playbook!$A$13,'Trade Log'!$O$2:$O$601,"&gt;0")/COUNTIFS('Trade Log'!$E$2:$E$601,Playbook!$A$13,'Trade Log'!$O$2:$O$601,"&lt;&gt;"&amp;"")),"")</f>
        <v/>
      </c>
      <c r="D43" s="54">
        <f>IFERROR(IF(Playbook!$A$13="","",SUMIFS('Trade Log'!$O$2:$O$601,'Trade Log'!$E$2:$E$601,Playbook!$A$13)),"")</f>
        <v/>
      </c>
      <c r="E43" s="55">
        <f>IFERROR(IF(Playbook!$A$13="","",AVERAGEIFS('Trade Log'!$Q$2:$Q$601,'Trade Log'!$E$2:$E$601,Playbook!$A$13,'Trade Log'!$O$2:$O$601,"&lt;&gt;"&amp;"")),"")</f>
        <v/>
      </c>
    </row>
    <row r="44">
      <c r="A44" s="46">
        <f>IFERROR(IF(Playbook!$A$14="","",Playbook!$A$14),"")</f>
        <v/>
      </c>
      <c r="B44" s="47">
        <f>IFERROR(IF(Playbook!$A$14="","",COUNTIFS('Trade Log'!$E$2:$E$601,Playbook!$A$14,'Trade Log'!$O$2:$O$601,"&lt;&gt;"&amp;"")),"")</f>
        <v/>
      </c>
      <c r="C44" s="48">
        <f>IFERROR(IF(Playbook!$A$14="","",COUNTIFS('Trade Log'!$E$2:$E$601,Playbook!$A$14,'Trade Log'!$O$2:$O$601,"&gt;0")/COUNTIFS('Trade Log'!$E$2:$E$601,Playbook!$A$14,'Trade Log'!$O$2:$O$601,"&lt;&gt;"&amp;"")),"")</f>
        <v/>
      </c>
      <c r="D44" s="49">
        <f>IFERROR(IF(Playbook!$A$14="","",SUMIFS('Trade Log'!$O$2:$O$601,'Trade Log'!$E$2:$E$601,Playbook!$A$14)),"")</f>
        <v/>
      </c>
      <c r="E44" s="50">
        <f>IFERROR(IF(Playbook!$A$14="","",AVERAGEIFS('Trade Log'!$Q$2:$Q$601,'Trade Log'!$E$2:$E$601,Playbook!$A$14,'Trade Log'!$O$2:$O$601,"&lt;&gt;"&amp;"")),"")</f>
        <v/>
      </c>
    </row>
    <row r="45">
      <c r="A45" s="51">
        <f>IFERROR(IF(Playbook!$A$15="","",Playbook!$A$15),"")</f>
        <v/>
      </c>
      <c r="B45" s="52">
        <f>IFERROR(IF(Playbook!$A$15="","",COUNTIFS('Trade Log'!$E$2:$E$601,Playbook!$A$15,'Trade Log'!$O$2:$O$601,"&lt;&gt;"&amp;"")),"")</f>
        <v/>
      </c>
      <c r="C45" s="53">
        <f>IFERROR(IF(Playbook!$A$15="","",COUNTIFS('Trade Log'!$E$2:$E$601,Playbook!$A$15,'Trade Log'!$O$2:$O$601,"&gt;0")/COUNTIFS('Trade Log'!$E$2:$E$601,Playbook!$A$15,'Trade Log'!$O$2:$O$601,"&lt;&gt;"&amp;"")),"")</f>
        <v/>
      </c>
      <c r="D45" s="54">
        <f>IFERROR(IF(Playbook!$A$15="","",SUMIFS('Trade Log'!$O$2:$O$601,'Trade Log'!$E$2:$E$601,Playbook!$A$15)),"")</f>
        <v/>
      </c>
      <c r="E45" s="55">
        <f>IFERROR(IF(Playbook!$A$15="","",AVERAGEIFS('Trade Log'!$Q$2:$Q$601,'Trade Log'!$E$2:$E$601,Playbook!$A$15,'Trade Log'!$O$2:$O$601,"&lt;&gt;"&amp;"")),"")</f>
        <v/>
      </c>
    </row>
    <row r="46">
      <c r="A46" s="46">
        <f>IFERROR(IF(Playbook!$A$16="","",Playbook!$A$16),"")</f>
        <v/>
      </c>
      <c r="B46" s="47">
        <f>IFERROR(IF(Playbook!$A$16="","",COUNTIFS('Trade Log'!$E$2:$E$601,Playbook!$A$16,'Trade Log'!$O$2:$O$601,"&lt;&gt;"&amp;"")),"")</f>
        <v/>
      </c>
      <c r="C46" s="48">
        <f>IFERROR(IF(Playbook!$A$16="","",COUNTIFS('Trade Log'!$E$2:$E$601,Playbook!$A$16,'Trade Log'!$O$2:$O$601,"&gt;0")/COUNTIFS('Trade Log'!$E$2:$E$601,Playbook!$A$16,'Trade Log'!$O$2:$O$601,"&lt;&gt;"&amp;"")),"")</f>
        <v/>
      </c>
      <c r="D46" s="49">
        <f>IFERROR(IF(Playbook!$A$16="","",SUMIFS('Trade Log'!$O$2:$O$601,'Trade Log'!$E$2:$E$601,Playbook!$A$16)),"")</f>
        <v/>
      </c>
      <c r="E46" s="50">
        <f>IFERROR(IF(Playbook!$A$16="","",AVERAGEIFS('Trade Log'!$Q$2:$Q$601,'Trade Log'!$E$2:$E$601,Playbook!$A$16,'Trade Log'!$O$2:$O$601,"&lt;&gt;"&amp;"")),"")</f>
        <v/>
      </c>
    </row>
    <row r="47">
      <c r="A47" s="51">
        <f>IFERROR(IF(Playbook!$A$17="","",Playbook!$A$17),"")</f>
        <v/>
      </c>
      <c r="B47" s="52">
        <f>IFERROR(IF(Playbook!$A$17="","",COUNTIFS('Trade Log'!$E$2:$E$601,Playbook!$A$17,'Trade Log'!$O$2:$O$601,"&lt;&gt;"&amp;"")),"")</f>
        <v/>
      </c>
      <c r="C47" s="53">
        <f>IFERROR(IF(Playbook!$A$17="","",COUNTIFS('Trade Log'!$E$2:$E$601,Playbook!$A$17,'Trade Log'!$O$2:$O$601,"&gt;0")/COUNTIFS('Trade Log'!$E$2:$E$601,Playbook!$A$17,'Trade Log'!$O$2:$O$601,"&lt;&gt;"&amp;"")),"")</f>
        <v/>
      </c>
      <c r="D47" s="54">
        <f>IFERROR(IF(Playbook!$A$17="","",SUMIFS('Trade Log'!$O$2:$O$601,'Trade Log'!$E$2:$E$601,Playbook!$A$17)),"")</f>
        <v/>
      </c>
      <c r="E47" s="55">
        <f>IFERROR(IF(Playbook!$A$17="","",AVERAGEIFS('Trade Log'!$Q$2:$Q$601,'Trade Log'!$E$2:$E$601,Playbook!$A$17,'Trade Log'!$O$2:$O$601,"&lt;&gt;"&amp;"")),"")</f>
        <v/>
      </c>
    </row>
    <row r="48">
      <c r="A48" s="46">
        <f>IFERROR(IF(Playbook!$A$18="","",Playbook!$A$18),"")</f>
        <v/>
      </c>
      <c r="B48" s="47">
        <f>IFERROR(IF(Playbook!$A$18="","",COUNTIFS('Trade Log'!$E$2:$E$601,Playbook!$A$18,'Trade Log'!$O$2:$O$601,"&lt;&gt;"&amp;"")),"")</f>
        <v/>
      </c>
      <c r="C48" s="48">
        <f>IFERROR(IF(Playbook!$A$18="","",COUNTIFS('Trade Log'!$E$2:$E$601,Playbook!$A$18,'Trade Log'!$O$2:$O$601,"&gt;0")/COUNTIFS('Trade Log'!$E$2:$E$601,Playbook!$A$18,'Trade Log'!$O$2:$O$601,"&lt;&gt;"&amp;"")),"")</f>
        <v/>
      </c>
      <c r="D48" s="49">
        <f>IFERROR(IF(Playbook!$A$18="","",SUMIFS('Trade Log'!$O$2:$O$601,'Trade Log'!$E$2:$E$601,Playbook!$A$18)),"")</f>
        <v/>
      </c>
      <c r="E48" s="50">
        <f>IFERROR(IF(Playbook!$A$18="","",AVERAGEIFS('Trade Log'!$Q$2:$Q$601,'Trade Log'!$E$2:$E$601,Playbook!$A$18,'Trade Log'!$O$2:$O$601,"&lt;&gt;"&amp;"")),"")</f>
        <v/>
      </c>
    </row>
    <row r="49">
      <c r="A49" s="51">
        <f>IFERROR(IF(Playbook!$A$19="","",Playbook!$A$19),"")</f>
        <v/>
      </c>
      <c r="B49" s="52">
        <f>IFERROR(IF(Playbook!$A$19="","",COUNTIFS('Trade Log'!$E$2:$E$601,Playbook!$A$19,'Trade Log'!$O$2:$O$601,"&lt;&gt;"&amp;"")),"")</f>
        <v/>
      </c>
      <c r="C49" s="53">
        <f>IFERROR(IF(Playbook!$A$19="","",COUNTIFS('Trade Log'!$E$2:$E$601,Playbook!$A$19,'Trade Log'!$O$2:$O$601,"&gt;0")/COUNTIFS('Trade Log'!$E$2:$E$601,Playbook!$A$19,'Trade Log'!$O$2:$O$601,"&lt;&gt;"&amp;"")),"")</f>
        <v/>
      </c>
      <c r="D49" s="54">
        <f>IFERROR(IF(Playbook!$A$19="","",SUMIFS('Trade Log'!$O$2:$O$601,'Trade Log'!$E$2:$E$601,Playbook!$A$19)),"")</f>
        <v/>
      </c>
      <c r="E49" s="55">
        <f>IFERROR(IF(Playbook!$A$19="","",AVERAGEIFS('Trade Log'!$Q$2:$Q$601,'Trade Log'!$E$2:$E$601,Playbook!$A$19,'Trade Log'!$O$2:$O$601,"&lt;&gt;"&amp;"")),"")</f>
        <v/>
      </c>
    </row>
    <row r="50">
      <c r="A50" s="46">
        <f>IFERROR(IF(Playbook!$A$20="","",Playbook!$A$20),"")</f>
        <v/>
      </c>
      <c r="B50" s="47">
        <f>IFERROR(IF(Playbook!$A$20="","",COUNTIFS('Trade Log'!$E$2:$E$601,Playbook!$A$20,'Trade Log'!$O$2:$O$601,"&lt;&gt;"&amp;"")),"")</f>
        <v/>
      </c>
      <c r="C50" s="48">
        <f>IFERROR(IF(Playbook!$A$20="","",COUNTIFS('Trade Log'!$E$2:$E$601,Playbook!$A$20,'Trade Log'!$O$2:$O$601,"&gt;0")/COUNTIFS('Trade Log'!$E$2:$E$601,Playbook!$A$20,'Trade Log'!$O$2:$O$601,"&lt;&gt;"&amp;"")),"")</f>
        <v/>
      </c>
      <c r="D50" s="49">
        <f>IFERROR(IF(Playbook!$A$20="","",SUMIFS('Trade Log'!$O$2:$O$601,'Trade Log'!$E$2:$E$601,Playbook!$A$20)),"")</f>
        <v/>
      </c>
      <c r="E50" s="50">
        <f>IFERROR(IF(Playbook!$A$20="","",AVERAGEIFS('Trade Log'!$Q$2:$Q$601,'Trade Log'!$E$2:$E$601,Playbook!$A$20,'Trade Log'!$O$2:$O$601,"&lt;&gt;"&amp;"")),"")</f>
        <v/>
      </c>
    </row>
    <row r="51">
      <c r="A51" s="51">
        <f>IFERROR(IF(Playbook!$A$21="","",Playbook!$A$21),"")</f>
        <v/>
      </c>
      <c r="B51" s="52">
        <f>IFERROR(IF(Playbook!$A$21="","",COUNTIFS('Trade Log'!$E$2:$E$601,Playbook!$A$21,'Trade Log'!$O$2:$O$601,"&lt;&gt;"&amp;"")),"")</f>
        <v/>
      </c>
      <c r="C51" s="53">
        <f>IFERROR(IF(Playbook!$A$21="","",COUNTIFS('Trade Log'!$E$2:$E$601,Playbook!$A$21,'Trade Log'!$O$2:$O$601,"&gt;0")/COUNTIFS('Trade Log'!$E$2:$E$601,Playbook!$A$21,'Trade Log'!$O$2:$O$601,"&lt;&gt;"&amp;"")),"")</f>
        <v/>
      </c>
      <c r="D51" s="54">
        <f>IFERROR(IF(Playbook!$A$21="","",SUMIFS('Trade Log'!$O$2:$O$601,'Trade Log'!$E$2:$E$601,Playbook!$A$21)),"")</f>
        <v/>
      </c>
      <c r="E51" s="55">
        <f>IFERROR(IF(Playbook!$A$21="","",AVERAGEIFS('Trade Log'!$Q$2:$Q$601,'Trade Log'!$E$2:$E$601,Playbook!$A$21,'Trade Log'!$O$2:$O$601,"&lt;&gt;"&amp;"")),"")</f>
        <v/>
      </c>
    </row>
    <row r="53">
      <c r="A53" s="36" t="inlineStr">
        <is>
          <t>CUMULATIVE P/L CHART</t>
        </is>
      </c>
    </row>
  </sheetData>
  <mergeCells count="8">
    <mergeCell ref="A1:G1"/>
    <mergeCell ref="A27:G27"/>
    <mergeCell ref="A8:G8"/>
    <mergeCell ref="A53:G53"/>
    <mergeCell ref="A30:G30"/>
    <mergeCell ref="A2:G2"/>
    <mergeCell ref="A15:G15"/>
    <mergeCell ref="A23:G23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35" customWidth="1" min="3" max="3"/>
    <col width="30" customWidth="1" min="4" max="4"/>
    <col width="30" customWidth="1" min="5" max="5"/>
  </cols>
  <sheetData>
    <row r="1">
      <c r="A1" s="28" t="inlineStr">
        <is>
          <t>Playbook — Your Personal Setup Library</t>
        </is>
      </c>
    </row>
    <row r="2" ht="60" customHeight="1">
      <c r="A2" s="56" t="inlineStr">
        <is>
          <t>Breakout — 52-week high</t>
        </is>
      </c>
      <c r="B2" s="56" t="inlineStr">
        <is>
          <t>Price closes at or above 52-week high on above-average volume (&gt;1.5x 20-day avg). Entry on next-day open or intraday retest of the breakout level.</t>
        </is>
      </c>
      <c r="C2" s="56" t="inlineStr">
        <is>
          <t>Scale out 50% at 1R above entry. Trail stop to break-even after first scale. Full exit on close below 10-day EMA.</t>
        </is>
      </c>
      <c r="D2" s="56" t="inlineStr">
        <is>
          <t>Trending market (S&amp;P 500 above 50-day and 200-day MA). Avoid in choppy, range-bound markets or broad downtrend.</t>
        </is>
      </c>
      <c r="E2" s="56" t="inlineStr">
        <is>
          <t>Best in early-to-mid uptrend. Volume confirmation is non-negotiable.</t>
        </is>
      </c>
    </row>
    <row r="3" ht="60" customHeight="1">
      <c r="A3" s="57" t="inlineStr">
        <is>
          <t>Pullback to rising 50-day</t>
        </is>
      </c>
      <c r="B3" s="57" t="inlineStr">
        <is>
          <t>Stock in uptrend (price above 50-day and 200-day MA). Price pulls back to within 2% of 50-day MA. Wait for one green close that holds the 50-day. Entry on next open or limit at the 50-day.</t>
        </is>
      </c>
      <c r="C3" s="57" t="inlineStr">
        <is>
          <t>First target = prior swing high. Partial exit there. Hard stop = daily close below 50-day MA.</t>
        </is>
      </c>
      <c r="D3" s="57" t="inlineStr">
        <is>
          <t>Works best when broader market is in a confirmed uptrend and sector is strong. Avoid during earnings season unless entry is &gt;2 weeks from earnings date.</t>
        </is>
      </c>
      <c r="E3" s="57" t="inlineStr">
        <is>
          <t>Lower-risk entry point than chasing breakouts. Quality names in leading sectors have highest reliability.</t>
        </is>
      </c>
    </row>
    <row r="4" ht="60" customHeight="1">
      <c r="A4" s="56" t="inlineStr">
        <is>
          <t>Post-earnings drift</t>
        </is>
      </c>
      <c r="B4" s="56" t="inlineStr">
        <is>
          <t>Stock gaps up or down &gt;5% on earnings with heavy volume. Wait for the first full trading session to pass (let initial volatility settle). Enter in the direction of the gap on a pullback to the gap-day VWAP or the prior-close level.</t>
        </is>
      </c>
      <c r="C4" s="56" t="inlineStr">
        <is>
          <t>Target = measured move of gap size projected from entry. Stop = opposite side of gap-day range. Exit in full if price reverses to fill the gap.</t>
        </is>
      </c>
      <c r="D4" s="56" t="inlineStr">
        <is>
          <t>Most reliable when the earnings surprise was material (beat/miss &gt;10%) and sector sentiment is aligned. Avoid when index is in a volatile regime.</t>
        </is>
      </c>
      <c r="E4" s="56" t="inlineStr">
        <is>
          <t>Drift can last 3-10 trading days. Size conservatively — post-earnings vol remains elevated.</t>
        </is>
      </c>
    </row>
    <row r="5" ht="60" customHeight="1">
      <c r="A5" s="57" t="inlineStr">
        <is>
          <t>Oversold bounce — counter-trend</t>
        </is>
      </c>
      <c r="B5" s="57" t="inlineStr">
        <is>
          <t>RSI(14) below 30 on daily chart. Price at or near a major support level (prior swing low, round number, 200-day MA). Wait for a bullish reversal candle (hammer, engulfing) to form. Entry on next open.</t>
        </is>
      </c>
      <c r="C5" s="57" t="inlineStr">
        <is>
          <t>Target = prior resistance or 50% retracement of recent decline. Tight stop just below the reversal candle low. Exit at target or on any close below entry.</t>
        </is>
      </c>
      <c r="D5" s="57" t="inlineStr">
        <is>
          <t>Works against the short-term trend. Only take in broadly oversold market conditions. Do not hold through a trend-continuation break.</t>
        </is>
      </c>
      <c r="E5" s="57" t="inlineStr">
        <is>
          <t>Smaller size than trend trades (counter-trend). This is a mean-reversion play, not a new-trend entry.</t>
        </is>
      </c>
    </row>
    <row r="6">
      <c r="A6" s="58" t="n"/>
      <c r="B6" s="58" t="n"/>
      <c r="C6" s="58" t="n"/>
      <c r="D6" s="58" t="n"/>
      <c r="E6" s="58" t="n"/>
    </row>
    <row r="7">
      <c r="A7" s="59" t="n"/>
      <c r="B7" s="59" t="n"/>
      <c r="C7" s="59" t="n"/>
      <c r="D7" s="59" t="n"/>
      <c r="E7" s="59" t="n"/>
    </row>
    <row r="8">
      <c r="A8" s="58" t="n"/>
      <c r="B8" s="58" t="n"/>
      <c r="C8" s="58" t="n"/>
      <c r="D8" s="58" t="n"/>
      <c r="E8" s="58" t="n"/>
    </row>
    <row r="9">
      <c r="A9" s="59" t="n"/>
      <c r="B9" s="59" t="n"/>
      <c r="C9" s="59" t="n"/>
      <c r="D9" s="59" t="n"/>
      <c r="E9" s="59" t="n"/>
    </row>
    <row r="10">
      <c r="A10" s="58" t="n"/>
      <c r="B10" s="58" t="n"/>
      <c r="C10" s="58" t="n"/>
      <c r="D10" s="58" t="n"/>
      <c r="E10" s="58" t="n"/>
    </row>
    <row r="11">
      <c r="A11" s="59" t="n"/>
      <c r="B11" s="59" t="n"/>
      <c r="C11" s="59" t="n"/>
      <c r="D11" s="59" t="n"/>
      <c r="E11" s="59" t="n"/>
    </row>
    <row r="12">
      <c r="A12" s="58" t="n"/>
      <c r="B12" s="58" t="n"/>
      <c r="C12" s="58" t="n"/>
      <c r="D12" s="58" t="n"/>
      <c r="E12" s="58" t="n"/>
    </row>
    <row r="13">
      <c r="A13" s="59" t="n"/>
      <c r="B13" s="59" t="n"/>
      <c r="C13" s="59" t="n"/>
      <c r="D13" s="59" t="n"/>
      <c r="E13" s="59" t="n"/>
    </row>
    <row r="14">
      <c r="A14" s="58" t="n"/>
      <c r="B14" s="58" t="n"/>
      <c r="C14" s="58" t="n"/>
      <c r="D14" s="58" t="n"/>
      <c r="E14" s="58" t="n"/>
    </row>
    <row r="15">
      <c r="A15" s="59" t="n"/>
      <c r="B15" s="59" t="n"/>
      <c r="C15" s="59" t="n"/>
      <c r="D15" s="59" t="n"/>
      <c r="E15" s="59" t="n"/>
    </row>
    <row r="16">
      <c r="A16" s="58" t="n"/>
      <c r="B16" s="58" t="n"/>
      <c r="C16" s="58" t="n"/>
      <c r="D16" s="58" t="n"/>
      <c r="E16" s="58" t="n"/>
    </row>
    <row r="17">
      <c r="A17" s="59" t="n"/>
      <c r="B17" s="59" t="n"/>
      <c r="C17" s="59" t="n"/>
      <c r="D17" s="59" t="n"/>
      <c r="E17" s="59" t="n"/>
    </row>
    <row r="18">
      <c r="A18" s="58" t="n"/>
      <c r="B18" s="58" t="n"/>
      <c r="C18" s="58" t="n"/>
      <c r="D18" s="58" t="n"/>
      <c r="E18" s="58" t="n"/>
    </row>
    <row r="19">
      <c r="A19" s="59" t="n"/>
      <c r="B19" s="59" t="n"/>
      <c r="C19" s="59" t="n"/>
      <c r="D19" s="59" t="n"/>
      <c r="E19" s="59" t="n"/>
    </row>
    <row r="20">
      <c r="A20" s="58" t="n"/>
      <c r="B20" s="58" t="n"/>
      <c r="C20" s="58" t="n"/>
      <c r="D20" s="58" t="n"/>
      <c r="E20" s="58" t="n"/>
    </row>
    <row r="21">
      <c r="A21" s="59" t="n"/>
      <c r="B21" s="59" t="n"/>
      <c r="C21" s="59" t="n"/>
      <c r="D21" s="59" t="n"/>
      <c r="E21" s="59" t="n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Mastermind Research</dc:creator>
  <dcterms:created xmlns:dcterms="http://purl.org/dc/terms/" xmlns:xsi="http://www.w3.org/2001/XMLSchema-instance" xsi:type="dcterms:W3CDTF">2026-07-20T00:00:00Z</dcterms:created>
  <dcterms:modified xmlns:dcterms="http://purl.org/dc/terms/" xmlns:xsi="http://www.w3.org/2001/XMLSchema-instance" xsi:type="dcterms:W3CDTF">2026-07-20T00:00:00Z</dcterms:modified>
  <cp:lastModifiedBy>Mastermind Research</cp:lastModifiedBy>
</cp:coreProperties>
</file>